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13 data" sheetId="1" r:id="rId3"/>
    <sheet state="visible" name="royalties 2010 tidied" sheetId="2" r:id="rId4"/>
    <sheet state="visible" name="royalties 2010 original" sheetId="3" r:id="rId5"/>
  </sheets>
  <definedNames/>
  <calcPr/>
</workbook>
</file>

<file path=xl/sharedStrings.xml><?xml version="1.0" encoding="utf-8"?>
<sst xmlns="http://schemas.openxmlformats.org/spreadsheetml/2006/main" count="682" uniqueCount="222">
  <si>
    <t>outlet</t>
  </si>
  <si>
    <t>artist type</t>
  </si>
  <si>
    <t>format</t>
  </si>
  <si>
    <t>Retail price</t>
  </si>
  <si>
    <t>Retailer Cut</t>
  </si>
  <si>
    <t>Artist Cut</t>
  </si>
  <si>
    <t>Label Cut</t>
  </si>
  <si>
    <t>Retailer REvenue</t>
  </si>
  <si>
    <t>Artist Revenue</t>
  </si>
  <si>
    <t>Label Revenue</t>
  </si>
  <si>
    <t>To earn min wage: solo musician</t>
  </si>
  <si>
    <t>Publisher</t>
  </si>
  <si>
    <t>Songwriter</t>
  </si>
  <si>
    <t>checksum</t>
  </si>
  <si>
    <t>SQRT</t>
  </si>
  <si>
    <t>To earn min wage: solo musician who also wrote songs</t>
  </si>
  <si>
    <t>Record Label</t>
  </si>
  <si>
    <t>Artist</t>
  </si>
  <si>
    <t>ROYALTIES</t>
  </si>
  <si>
    <t>recording</t>
  </si>
  <si>
    <t>songwriting</t>
  </si>
  <si>
    <t>SALES</t>
  </si>
  <si>
    <t>US minimum wage: approx. $1,260 (40-hour week at Federal Wage baseline 2013 of $7.25 / hour, varies by state)</t>
  </si>
  <si>
    <t>content provider / outlet / store cut</t>
  </si>
  <si>
    <t>sales / plays per month</t>
  </si>
  <si>
    <t>publisher cut</t>
  </si>
  <si>
    <t>what they get per sale / play</t>
  </si>
  <si>
    <t>songwriter cut</t>
  </si>
  <si>
    <t>performance royalty cut i.e. record label; artist; supporting</t>
  </si>
  <si>
    <t>artist performance royalty cut</t>
  </si>
  <si>
    <t>label performance royalty cut</t>
  </si>
  <si>
    <t>$ paid per play/stream for total royalties</t>
  </si>
  <si>
    <t>$ paid per play/stream for performance royalties</t>
  </si>
  <si>
    <t>$ paid per play/stream for mechanical royalties</t>
  </si>
  <si>
    <t>solo - sales needed to make $100</t>
  </si>
  <si>
    <t>solo - sales/plays needed to earn minimum yearly wage</t>
  </si>
  <si>
    <t>band – sales/plays needed per month to earn minimum wage</t>
  </si>
  <si>
    <t>band – sales/plays needed per year to earn minimum wage</t>
  </si>
  <si>
    <t>monthly subscription</t>
  </si>
  <si>
    <t>yearly subscription</t>
  </si>
  <si>
    <t># streams a monthly subscription pays for</t>
  </si>
  <si>
    <t># streams a yearly subscription pays for</t>
  </si>
  <si>
    <t>note</t>
  </si>
  <si>
    <t>link 1</t>
  </si>
  <si>
    <t>link 2</t>
  </si>
  <si>
    <t>link 3</t>
  </si>
  <si>
    <t>link 4</t>
  </si>
  <si>
    <t>link 5</t>
  </si>
  <si>
    <t>$</t>
  </si>
  <si>
    <t>%</t>
  </si>
  <si>
    <t>% of retail price</t>
  </si>
  <si>
    <t>% of performance royalties</t>
  </si>
  <si>
    <t>$, paid by content provider</t>
  </si>
  <si>
    <t>4 members</t>
  </si>
  <si>
    <t>self-pressed CD album</t>
  </si>
  <si>
    <t>independent</t>
  </si>
  <si>
    <t>Album CD</t>
  </si>
  <si>
    <t>-</t>
  </si>
  <si>
    <t>n/a</t>
  </si>
  <si>
    <t>CD Baby</t>
  </si>
  <si>
    <t>$49 one-off fee to CD Baby per album; revenue = chosen purchase price (for comparison set at $9.99 here) minus $4 which goes to CD Baby</t>
  </si>
  <si>
    <t>http://members.cdbaby.com/cd-baby-cost.aspx</t>
  </si>
  <si>
    <t>retail album CD (high end royalty deal)</t>
  </si>
  <si>
    <t>with record label &amp; publishing company</t>
  </si>
  <si>
    <t>&lt;&lt; of performance royalties not revenue</t>
  </si>
  <si>
    <t xml:space="preserve">Every contract is different, but the average high-end royalty deal with a record company will pay musicians $1 for every $10 retail album sale.  </t>
  </si>
  <si>
    <t>http://www.investinganswers.com/personal-finance/rich-famous/who-really-profits-your-itunes-downloads-3818</t>
  </si>
  <si>
    <t>retail album CD (low end royalty deal)</t>
  </si>
  <si>
    <t>A low-end royalty deal with a record company will pay musicians 30 cents for every $10 retail album sale</t>
  </si>
  <si>
    <t>Amazon</t>
  </si>
  <si>
    <t>Single download</t>
  </si>
  <si>
    <t>publishing money in US is fixed at $0.0091 per download (~half of which goes to songwriter). with a signed artist, would be passed on to publishers via record label</t>
  </si>
  <si>
    <t>anecdotal evidence suggests both iTunes &amp; Amazon use a 30/70 split. Assuming label/artist split of 84/16% based on Rolling Stones industry estimate (2011)</t>
  </si>
  <si>
    <t>http://music-download-review.toptenreviews.com/</t>
  </si>
  <si>
    <t>http://www.digitalmusicnews.com/stories/091311artistmakes</t>
  </si>
  <si>
    <t>http://www.quora.com/iTunes/How-much-does-an-independent-artist-make-on-a-0-99-iTunes-track-sale</t>
  </si>
  <si>
    <t>http://www.rollingstone.com/music/news/the-new-economics-of-the-music-industry-20111025?page=2</t>
  </si>
  <si>
    <t>http://www.digitaltrends.com/music/how-much-are-next-gen-music-services-really-paying-artists/</t>
  </si>
  <si>
    <t>Google Play single track</t>
  </si>
  <si>
    <t>Single track download</t>
  </si>
  <si>
    <t>70/30 split. Assuming label/artist split of 84/16% based on Rolling Stones industry estimate (2011)</t>
  </si>
  <si>
    <t>http://www.refinery29.com/music-online</t>
  </si>
  <si>
    <t>https://support.google.com/googleplay/artists/answer/1704471?hl=en-GB</t>
  </si>
  <si>
    <t>Xbox Music via Tunecore</t>
  </si>
  <si>
    <t>Assuming label/artist split of 84/16% based on Rolling Stones industry estimate (2011). $9.99 annual fee to TuneCore for Single Distribution.</t>
  </si>
  <si>
    <t>http://help.tunecore.com/app/answers/detail/a_id/50/~/xbox-music%3A-description,-go-live-time,-territories,-how-they-sell-your-music,</t>
  </si>
  <si>
    <t>http://www.tunecore.com/index/pricing</t>
  </si>
  <si>
    <t>iTunes</t>
  </si>
  <si>
    <t>http://blog.tunecore.com/2013/02/music-download-streaming-royalties-are-you-getting-your-fair-share.html</t>
  </si>
  <si>
    <t xml:space="preserve">iTunes via CD Baby </t>
  </si>
  <si>
    <t>anecdotal evidence suggests both iTunes &amp; Amazon use a 30/70 split. Calc factors in one-off cost of using CD Baby to sell a single ($12.95)</t>
  </si>
  <si>
    <t>iTunes via TuneCore</t>
  </si>
  <si>
    <t>$9.99 annual fee to TuneCore for Single Distribution</t>
  </si>
  <si>
    <t>iTunes via ReverbNation</t>
  </si>
  <si>
    <t>Tracks are usually sold for $.99. With an essentials package costing $34.95 p/year</t>
  </si>
  <si>
    <t>http://www.reverbnation.com/c/artist/distro_faq#b3</t>
  </si>
  <si>
    <t>Album download</t>
  </si>
  <si>
    <t>http://music-download-review.toptenreviews.com/itunes-review.html</t>
  </si>
  <si>
    <t>Full length releases are sold for $9.99. With an essentials package costing $34.95 p/year</t>
  </si>
  <si>
    <t>http://members.cdbaby.com/retail.aspx</t>
  </si>
  <si>
    <t>http://www.cdbaby.com/top</t>
  </si>
  <si>
    <t>TuneCore</t>
  </si>
  <si>
    <t>$49.99 annual fee to TuneCore for Album distribution</t>
  </si>
  <si>
    <t>Bandcamp</t>
  </si>
  <si>
    <t>iTunes Radio via SoundExchange</t>
  </si>
  <si>
    <t>Stream (Non-Interactive)</t>
  </si>
  <si>
    <t>Apple iTunes radio offers terms of 0.14 cents per listen; plus 19 percent of associated ad revenue (not included)</t>
  </si>
  <si>
    <t>http://evolver.fm/2013/06/27/report-apple-itunes-radio-offers-higher-royalties-than-pandora/</t>
  </si>
  <si>
    <t>Pandora via SoundExchange</t>
  </si>
  <si>
    <t>5% royalties to SoundExchange &amp; 95% to record label/artist; 2013 Pandora pays $0.13 per stream.</t>
  </si>
  <si>
    <t>http://www.theverge.com/2013/6/25/4460804/pandora-and-musicians-meet-to-discuss-royalty-settlement</t>
  </si>
  <si>
    <t>http://www.digitaltrends.com/music/how-do-music-royalties-work-and-why-does-everyone-complain/</t>
  </si>
  <si>
    <t xml:space="preserve">Sirius XM </t>
  </si>
  <si>
    <t>Stream (Non-Interactive) - Subscription</t>
  </si>
  <si>
    <t>Pays royalties in relation to subscription fees (In effect consumer pays royalties directly). Jan 2013 rate for royalty fee is 12.5%, or $1.81 for a 14.49 monthly subscription. Assuming label/artist split of 84/16% based on Rolling Stones industry estimate (2011)</t>
  </si>
  <si>
    <t>http://www.siriusxm.com/usmusicroyalty</t>
  </si>
  <si>
    <t>Last fm</t>
  </si>
  <si>
    <t>Payment = a per minima amount of US $0.0005 for each complete playback to an end user on the Last.fm subscription radio service. Assuming this is performance royalties only because mechanical royalties addressed separately by Last fm. Assuming label/artist split of 84/16% based on Rolling Stones industry estimate (2011)</t>
  </si>
  <si>
    <t>http://musicmanager.last.fm/help/faq?category=Artist+Royalty+Program</t>
  </si>
  <si>
    <t>https://www.google.co.uk/search?q=%243+a+month+last+fm&amp;oq=%243+a+month+last+fm&amp;aqs=chrome.0.69i57j69i65j0l3j69i60.2761j0&amp;sourceid=chrome&amp;ie=UTF-8</t>
  </si>
  <si>
    <t>Stream (Interactive)</t>
  </si>
  <si>
    <t>http://www.hypebot.com/hypebot/2011/10/just-how-much-does-rhapsody-pay-artists-.html</t>
  </si>
  <si>
    <t>Rhapsody</t>
  </si>
  <si>
    <t>Pay per stream is based on case-study by Levi Weaver (2013)</t>
  </si>
  <si>
    <t>http://leviweaver.com/2013/02/06/what-does-an-indie-get-paid-3-streaming/</t>
  </si>
  <si>
    <t>http://www.rhapsody.com/what-is-rhapsody/get.html</t>
  </si>
  <si>
    <t>Pay per stream is based on case-study by Levi Weaver (2013). Assuming label/artist split of 84/16% based on Rolling Stones industry estimate (2011)</t>
  </si>
  <si>
    <t>Spotify</t>
  </si>
  <si>
    <t xml:space="preserve">Stream (Interactive) </t>
  </si>
  <si>
    <t>The Spotify rate anecdotally varies from $0.004- $0.008 per play. NY Times quotes 0.5-0.7 cents. $0.006 used. Publishing $ taken from original infographic (David source)</t>
  </si>
  <si>
    <t>http://trustmeimascientist.com/2011/09/05/how-much-does-spotify-pay/</t>
  </si>
  <si>
    <t>http://trustmeimascientist.com/2012/08/06/how-to-fix-spotify/</t>
  </si>
  <si>
    <t>http://thecynicalmusician.com/category/cat-blog/music_business/</t>
  </si>
  <si>
    <t>http://www.nytimes.com/2013/01/29/business/media/streaming-shakes-up-music-industrys-model-for-royalties.html?pagewanted=all&amp;_r=0</t>
  </si>
  <si>
    <t>http://readwrite.com/2013/03/13/spotify-six-million-paid-subscribers-growth-quick-enough#awesm=~oeoiRvilYDOzR6</t>
  </si>
  <si>
    <t>YOUTUBE (based on ad revenue)</t>
  </si>
  <si>
    <t>ad revenue, pre-roll video ads, per 1,000 views</t>
  </si>
  <si>
    <t>% to YouTube</t>
  </si>
  <si>
    <t>Audiam cut</t>
  </si>
  <si>
    <t>Audiam's revenue</t>
  </si>
  <si>
    <t>YouTube's revenue per 1,000 views</t>
  </si>
  <si>
    <t>Artists' revenue</t>
  </si>
  <si>
    <t>YouTube views per month</t>
  </si>
  <si>
    <t>% ad revenue for artist</t>
  </si>
  <si>
    <t>% ad revenue for audiam</t>
  </si>
  <si>
    <t>views needed to make $100</t>
  </si>
  <si>
    <t>views needed to earn minimum yearly wage</t>
  </si>
  <si>
    <t>band - views needed per month to earn minimum wage</t>
  </si>
  <si>
    <t>band - views needed per year to earn minimum wage</t>
  </si>
  <si>
    <t>YouTube via Audiam</t>
  </si>
  <si>
    <t>Stream (Interactive): Ad Clicks</t>
  </si>
  <si>
    <t>rates for the most lucrative, “pre-roll” video ads that appear right before the featured video = $6.33 as of March 2013.</t>
  </si>
  <si>
    <t>http://futureofmusic.org/blog/2013/06/18/new-service-collecting-royalties-youtube</t>
  </si>
  <si>
    <t>http://www.businessweek.com/articles/2013-04-22/its-getting-harder-to-make-money-on-youtube</t>
  </si>
  <si>
    <t>average retail price</t>
  </si>
  <si>
    <t>record label's cut %</t>
  </si>
  <si>
    <t>record label revenue</t>
  </si>
  <si>
    <t>musician's share of record company's revenue</t>
  </si>
  <si>
    <t>musician's eventual revenue</t>
  </si>
  <si>
    <t>which is what % of original retail price?</t>
  </si>
  <si>
    <t>solo musician sales / plays needed to earn minimum monthly wage ($1,160)</t>
  </si>
  <si>
    <t xml:space="preserve">publishing percentage of retail price (song-writers, publishers) </t>
  </si>
  <si>
    <t>publishing revenue</t>
  </si>
  <si>
    <t>song writers cut of publishing revenue (typically 50%)</t>
  </si>
  <si>
    <t>solo musician (who also wrote songs) sales / plays needed to earn minimum wage</t>
  </si>
  <si>
    <t>sales needed to make $100</t>
  </si>
  <si>
    <t>solo musician sales to earn minimum yearly wage ($13,920)</t>
  </si>
  <si>
    <t>band – sales / plays needed per month to earn minimum wage</t>
  </si>
  <si>
    <t>band – sales /plays needed per year to earn minimum wage</t>
  </si>
  <si>
    <t>monthly subscription pays for</t>
  </si>
  <si>
    <t>yearly subscription pays for</t>
  </si>
  <si>
    <t>source link</t>
  </si>
  <si>
    <t>square root</t>
  </si>
  <si>
    <t>industry average, rounded %</t>
  </si>
  <si>
    <t>$ after expenses etc</t>
  </si>
  <si>
    <t>per month</t>
  </si>
  <si>
    <t>per year</t>
  </si>
  <si>
    <t>ignore</t>
  </si>
  <si>
    <t>Self-pressed CD</t>
  </si>
  <si>
    <t>http://thecynicalmusician.com/2010/01/the-paradise-that-should-have-been/</t>
  </si>
  <si>
    <t>http://members.cdbaby.com/WhatWeDo/Pricing.aspx</t>
  </si>
  <si>
    <t>https://www.basca.org.uk/news/basca-briefing-april-2010</t>
  </si>
  <si>
    <t>Napster</t>
  </si>
  <si>
    <t>MP3 download</t>
  </si>
  <si>
    <t>CD Baby sold via iTunes</t>
  </si>
  <si>
    <t>retail singles CD (high end royalty deal)</t>
  </si>
  <si>
    <t>Single CD</t>
  </si>
  <si>
    <t>retail singles CD (low end royalty deal)</t>
  </si>
  <si>
    <t>Rhapsody (independent artist)</t>
  </si>
  <si>
    <t>Stream</t>
  </si>
  <si>
    <t>fixed</t>
  </si>
  <si>
    <t>Rhapsody (label artist)</t>
  </si>
  <si>
    <t>Last.fm Free On Demand</t>
  </si>
  <si>
    <t>http://digitalaudioinsider.blogspot.com/2009/08/lastfm-royalties-for-q2-2009.html</t>
  </si>
  <si>
    <t>Last.fm Subscription Radio</t>
  </si>
  <si>
    <t>Last.fm Free Radio</t>
  </si>
  <si>
    <t>converted from UK per stream payout of £0.0012</t>
  </si>
  <si>
    <t>https://www.basca.org.uk/news/basca-briefing-april-2010, industry sources</t>
  </si>
  <si>
    <t>musician's share of record company's revenue(%)</t>
  </si>
  <si>
    <t>musician eventual revenue</t>
  </si>
  <si>
    <t>solo musician  sales target to earn minimum wage ($1,160)</t>
  </si>
  <si>
    <t>solo musician (who also wrote the songs) sales target to earn minimum wage</t>
  </si>
  <si>
    <t>to make $100 dollars</t>
  </si>
  <si>
    <t>solo musician YEARLY sales target</t>
  </si>
  <si>
    <t>band - monthly sales target</t>
  </si>
  <si>
    <t>band - yearly sales target</t>
  </si>
  <si>
    <t>notes / source</t>
  </si>
  <si>
    <t>number of sales per month</t>
  </si>
  <si>
    <t>assuming min yearly wage $13,920</t>
  </si>
  <si>
    <t>$dollars</t>
  </si>
  <si>
    <t>self-pressed CD</t>
  </si>
  <si>
    <t>Album Download</t>
  </si>
  <si>
    <t>Commercial Album sales CD (high end of royalties)</t>
  </si>
  <si>
    <t>Commercial Single sales CD (high end of royalties)</t>
  </si>
  <si>
    <t>Commercial Album sales CD (low end of royalties)</t>
  </si>
  <si>
    <t>Commercial Single sales CD (low end of royalties)</t>
  </si>
  <si>
    <t>stream</t>
  </si>
  <si>
    <t>Last Fm  - Free On Demand</t>
  </si>
  <si>
    <t>Last.Fm Subscription Radio</t>
  </si>
  <si>
    <t>Last Fm Free Radio</t>
  </si>
  <si>
    <t>Spotify*</t>
  </si>
  <si>
    <t>figures here converted from UK per stream payout of £0.0012</t>
  </si>
</sst>
</file>

<file path=xl/styles.xml><?xml version="1.0" encoding="utf-8"?>
<styleSheet xmlns="http://schemas.openxmlformats.org/spreadsheetml/2006/main" xmlns:x14ac="http://schemas.microsoft.com/office/spreadsheetml/2009/9/ac" xmlns:mc="http://schemas.openxmlformats.org/markup-compatibility/2006">
  <numFmts count="13">
    <numFmt numFmtId="164" formatCode="$#,##0.00"/>
    <numFmt numFmtId="165" formatCode="$#,##0"/>
    <numFmt numFmtId="166" formatCode="#,##0.000"/>
    <numFmt numFmtId="167" formatCode="#,##0&quot; $&quot;"/>
    <numFmt numFmtId="168" formatCode="#,##0.0000"/>
    <numFmt numFmtId="169" formatCode="&quot;$&quot;#,##0.000"/>
    <numFmt numFmtId="170" formatCode="&quot;$&quot;#,##0.0000"/>
    <numFmt numFmtId="171" formatCode="&quot;$&quot;#,##0.00"/>
    <numFmt numFmtId="172" formatCode="#,##0.###############"/>
    <numFmt numFmtId="173" formatCode="&quot;$&quot;#,##0"/>
    <numFmt numFmtId="174" formatCode="&quot;$&quot;#,##0.000000"/>
    <numFmt numFmtId="175" formatCode="&quot;$&quot;#,##0.00000"/>
    <numFmt numFmtId="176" formatCode="$ #,##0.00"/>
  </numFmts>
  <fonts count="50">
    <font>
      <sz val="10.0"/>
      <color rgb="FF000000"/>
      <name val="Arial"/>
    </font>
    <font>
      <b/>
      <sz val="11.0"/>
    </font>
    <font>
      <b/>
      <sz val="11.0"/>
      <color rgb="FFD9D9D9"/>
    </font>
    <font>
      <b/>
      <sz val="11.0"/>
      <color rgb="FF000000"/>
    </font>
    <font>
      <sz val="11.0"/>
    </font>
    <font>
      <sz val="11.0"/>
      <color rgb="FF000000"/>
    </font>
    <font>
      <sz val="11.0"/>
      <color rgb="FF999999"/>
    </font>
    <font>
      <sz val="11.0"/>
      <color rgb="FFD9D9D9"/>
    </font>
    <font>
      <sz val="11.0"/>
      <color rgb="FFCCCCCC"/>
    </font>
    <font>
      <sz val="9.0"/>
      <color rgb="FFCCCCCC"/>
    </font>
    <font>
      <sz val="10.0"/>
      <color rgb="FF000000"/>
    </font>
    <font>
      <b/>
      <sz val="10.0"/>
      <color rgb="FFD9D9D9"/>
    </font>
    <font>
      <b/>
      <sz val="10.0"/>
      <color rgb="FF000000"/>
    </font>
    <font>
      <b/>
      <sz val="10.0"/>
    </font>
    <font>
      <b/>
      <sz val="10.0"/>
      <color rgb="FF999999"/>
    </font>
    <font>
      <b/>
      <sz val="10.0"/>
      <color rgb="FFCCCCCC"/>
    </font>
    <font>
      <b/>
      <sz val="9.0"/>
      <color rgb="FF0000FF"/>
    </font>
    <font>
      <sz val="9.0"/>
      <color rgb="FFD9D9D9"/>
    </font>
    <font>
      <sz val="9.0"/>
      <color rgb="FF000000"/>
    </font>
    <font>
      <b/>
      <sz val="12.0"/>
      <color rgb="FF000000"/>
    </font>
    <font>
      <sz val="10.0"/>
      <color rgb="FF999999"/>
    </font>
    <font>
      <sz val="9.0"/>
    </font>
    <font>
      <sz val="9.0"/>
      <color rgb="FF969696"/>
    </font>
    <font>
      <b/>
      <sz val="9.0"/>
      <color rgb="FF000000"/>
    </font>
    <font/>
    <font>
      <u/>
      <sz val="9.0"/>
      <color rgb="FF0000FF"/>
    </font>
    <font>
      <sz val="8.0"/>
      <color rgb="FF000000"/>
    </font>
    <font>
      <u/>
      <sz val="9.0"/>
      <color rgb="FF0000FF"/>
    </font>
    <font>
      <u/>
      <sz val="9.0"/>
      <color rgb="FF0000FF"/>
    </font>
    <font>
      <sz val="9.0"/>
      <color rgb="FFB7B7B7"/>
    </font>
    <font>
      <u/>
      <sz val="9.0"/>
      <color rgb="FF0000FF"/>
    </font>
    <font>
      <b/>
      <sz val="11.0"/>
      <color rgb="FFB7B7B7"/>
    </font>
    <font>
      <u/>
      <sz val="9.0"/>
      <color rgb="FF0000FF"/>
    </font>
    <font>
      <u/>
      <sz val="9.0"/>
      <color rgb="FF0000FF"/>
    </font>
    <font>
      <u/>
      <sz val="9.0"/>
      <color rgb="FF0000FF"/>
    </font>
    <font>
      <sz val="10.0"/>
      <color rgb="FFCCCCCC"/>
    </font>
    <font>
      <u/>
      <sz val="10.0"/>
      <color rgb="FF0000FF"/>
    </font>
    <font>
      <sz val="9.0"/>
      <color rgb="FF0000FF"/>
    </font>
    <font>
      <b/>
      <sz val="9.0"/>
    </font>
    <font>
      <b/>
      <sz val="9.0"/>
      <color rgb="FFD9D9D9"/>
    </font>
    <font>
      <b/>
      <sz val="9.0"/>
      <color rgb="FFB7B7B7"/>
    </font>
    <font>
      <sz val="10.0"/>
      <color rgb="FFB7B7B7"/>
    </font>
    <font>
      <b/>
      <sz val="9.0"/>
      <color rgb="FFCCCCCC"/>
    </font>
    <font>
      <b/>
      <sz val="9.0"/>
      <color rgb="FF969696"/>
    </font>
    <font>
      <b/>
      <sz val="9.0"/>
      <color rgb="FFFF0000"/>
    </font>
    <font>
      <b/>
      <sz val="9.0"/>
      <color rgb="FFC0C0C0"/>
    </font>
    <font>
      <sz val="9.0"/>
      <color rgb="FFFF0000"/>
    </font>
    <font>
      <sz val="9.0"/>
      <color rgb="FFC0C0C0"/>
    </font>
    <font>
      <u/>
      <sz val="9.0"/>
      <color rgb="FF0000FF"/>
    </font>
    <font>
      <sz val="10.0"/>
      <color rgb="FFC0C0C0"/>
    </font>
  </fonts>
  <fills count="14">
    <fill>
      <patternFill patternType="none"/>
    </fill>
    <fill>
      <patternFill patternType="lightGray"/>
    </fill>
    <fill>
      <patternFill patternType="solid">
        <fgColor rgb="FFFFFFFF"/>
        <bgColor rgb="FFFFFFFF"/>
      </patternFill>
    </fill>
    <fill>
      <patternFill patternType="solid">
        <fgColor rgb="FFEAD1DC"/>
        <bgColor rgb="FFEAD1DC"/>
      </patternFill>
    </fill>
    <fill>
      <patternFill patternType="solid">
        <fgColor rgb="FF999999"/>
        <bgColor rgb="FF999999"/>
      </patternFill>
    </fill>
    <fill>
      <patternFill patternType="solid">
        <fgColor rgb="FF666666"/>
        <bgColor rgb="FF666666"/>
      </patternFill>
    </fill>
    <fill>
      <patternFill patternType="solid">
        <fgColor rgb="FFB7B7B7"/>
        <bgColor rgb="FFB7B7B7"/>
      </patternFill>
    </fill>
    <fill>
      <patternFill patternType="solid">
        <fgColor rgb="FF434343"/>
        <bgColor rgb="FF434343"/>
      </patternFill>
    </fill>
    <fill>
      <patternFill patternType="solid">
        <fgColor rgb="FFF3F3F3"/>
        <bgColor rgb="FFF3F3F3"/>
      </patternFill>
    </fill>
    <fill>
      <patternFill patternType="solid">
        <fgColor rgb="FFEFEFEF"/>
        <bgColor rgb="FFEFEFEF"/>
      </patternFill>
    </fill>
    <fill>
      <patternFill patternType="solid">
        <fgColor rgb="FF333333"/>
        <bgColor rgb="FF333333"/>
      </patternFill>
    </fill>
    <fill>
      <patternFill patternType="solid">
        <fgColor rgb="FF000000"/>
        <bgColor rgb="FF000000"/>
      </patternFill>
    </fill>
    <fill>
      <patternFill patternType="solid">
        <fgColor rgb="FFC0C0C0"/>
        <bgColor rgb="FFC0C0C0"/>
      </patternFill>
    </fill>
    <fill>
      <patternFill patternType="solid">
        <fgColor rgb="FFDDDDDD"/>
        <bgColor rgb="FFDDDDDD"/>
      </patternFill>
    </fill>
  </fills>
  <borders count="1">
    <border/>
  </borders>
  <cellStyleXfs count="1">
    <xf borderId="0" fillId="0" fontId="0" numFmtId="0" applyAlignment="1" applyFont="1"/>
  </cellStyleXfs>
  <cellXfs count="314">
    <xf borderId="0" fillId="0" fontId="0" numFmtId="0" xfId="0" applyAlignment="1" applyFont="1">
      <alignment readingOrder="0" shrinkToFit="0" vertical="bottom" wrapText="1"/>
    </xf>
    <xf borderId="0" fillId="2" fontId="1" numFmtId="0" xfId="0" applyAlignment="1" applyFill="1" applyFont="1">
      <alignment horizontal="left" readingOrder="0" shrinkToFit="0" vertical="top" wrapText="1"/>
    </xf>
    <xf borderId="0" fillId="2" fontId="2" numFmtId="0" xfId="0" applyAlignment="1" applyFont="1">
      <alignment horizontal="left" readingOrder="0" shrinkToFit="0" vertical="top" wrapText="1"/>
    </xf>
    <xf borderId="0" fillId="2" fontId="3" numFmtId="0" xfId="0" applyAlignment="1" applyFont="1">
      <alignment horizontal="left" readingOrder="0" shrinkToFit="0" vertical="top" wrapText="1"/>
    </xf>
    <xf borderId="0" fillId="3" fontId="1" numFmtId="0" xfId="0" applyAlignment="1" applyFill="1" applyFont="1">
      <alignment horizontal="left" readingOrder="0" shrinkToFit="0" vertical="top" wrapText="1"/>
    </xf>
    <xf borderId="0" fillId="4" fontId="4" numFmtId="0" xfId="0" applyAlignment="1" applyFill="1" applyFont="1">
      <alignment horizontal="left" shrinkToFit="0" vertical="top" wrapText="1"/>
    </xf>
    <xf borderId="0" fillId="0" fontId="5" numFmtId="0" xfId="0" applyAlignment="1" applyFont="1">
      <alignment horizontal="left" readingOrder="0" shrinkToFit="0" vertical="top" wrapText="1"/>
    </xf>
    <xf borderId="0" fillId="2" fontId="5" numFmtId="0" xfId="0" applyAlignment="1" applyFont="1">
      <alignment horizontal="left" readingOrder="0" shrinkToFit="0" vertical="top" wrapText="1"/>
    </xf>
    <xf borderId="0" fillId="2" fontId="5" numFmtId="0" xfId="0" applyAlignment="1" applyFont="1">
      <alignment horizontal="left" shrinkToFit="0" vertical="top" wrapText="1"/>
    </xf>
    <xf borderId="0" fillId="2" fontId="5" numFmtId="164" xfId="0" applyAlignment="1" applyFont="1" applyNumberFormat="1">
      <alignment horizontal="left" readingOrder="0" shrinkToFit="0" vertical="top" wrapText="1"/>
    </xf>
    <xf borderId="0" fillId="0" fontId="4" numFmtId="0" xfId="0" applyAlignment="1" applyFont="1">
      <alignment horizontal="left" shrinkToFit="0" vertical="top" wrapText="1"/>
    </xf>
    <xf borderId="0" fillId="5" fontId="6" numFmtId="0" xfId="0" applyAlignment="1" applyFill="1" applyFont="1">
      <alignment horizontal="left" shrinkToFit="0" vertical="top" wrapText="1"/>
    </xf>
    <xf borderId="0" fillId="0" fontId="5" numFmtId="0" xfId="0" applyAlignment="1" applyFont="1">
      <alignment horizontal="left" shrinkToFit="0" vertical="top" wrapText="1"/>
    </xf>
    <xf borderId="0" fillId="0" fontId="5" numFmtId="165" xfId="0" applyAlignment="1" applyFont="1" applyNumberFormat="1">
      <alignment horizontal="left" shrinkToFit="0" vertical="top" wrapText="1"/>
    </xf>
    <xf borderId="0" fillId="0" fontId="7" numFmtId="0" xfId="0" applyAlignment="1" applyFont="1">
      <alignment horizontal="left" readingOrder="0" shrinkToFit="0" vertical="top" wrapText="1"/>
    </xf>
    <xf borderId="0" fillId="0" fontId="2" numFmtId="0" xfId="0" applyAlignment="1" applyFont="1">
      <alignment horizontal="left" readingOrder="0" shrinkToFit="0" vertical="top" wrapText="1"/>
    </xf>
    <xf borderId="0" fillId="0" fontId="4" numFmtId="0" xfId="0" applyAlignment="1" applyFont="1">
      <alignment horizontal="left" readingOrder="0" shrinkToFit="0" vertical="top" wrapText="1"/>
    </xf>
    <xf borderId="0" fillId="5" fontId="3" numFmtId="0" xfId="0" applyAlignment="1" applyFont="1">
      <alignment horizontal="left" shrinkToFit="0" vertical="top" wrapText="1"/>
    </xf>
    <xf borderId="0" fillId="2" fontId="4" numFmtId="0" xfId="0" applyAlignment="1" applyFont="1">
      <alignment horizontal="left" shrinkToFit="0" vertical="top" wrapText="1"/>
    </xf>
    <xf borderId="0" fillId="6" fontId="4" numFmtId="0" xfId="0" applyAlignment="1" applyFill="1" applyFont="1">
      <alignment horizontal="left" shrinkToFit="0" vertical="top" wrapText="1"/>
    </xf>
    <xf borderId="0" fillId="6" fontId="1" numFmtId="0" xfId="0" applyAlignment="1" applyFont="1">
      <alignment horizontal="left" shrinkToFit="0" vertical="top" wrapText="1"/>
    </xf>
    <xf borderId="0" fillId="7" fontId="1" numFmtId="0" xfId="0" applyAlignment="1" applyFill="1" applyFont="1">
      <alignment horizontal="left" shrinkToFit="0" vertical="top" wrapText="1"/>
    </xf>
    <xf borderId="0" fillId="0" fontId="8" numFmtId="0" xfId="0" applyAlignment="1" applyFont="1">
      <alignment horizontal="left" shrinkToFit="0" vertical="top" wrapText="1"/>
    </xf>
    <xf borderId="0" fillId="0" fontId="9" numFmtId="0" xfId="0" applyAlignment="1" applyFont="1">
      <alignment horizontal="left" shrinkToFit="0" vertical="top" wrapText="0"/>
    </xf>
    <xf borderId="0" fillId="3" fontId="10" numFmtId="0" xfId="0" applyAlignment="1" applyFont="1">
      <alignment horizontal="left" readingOrder="0" shrinkToFit="0" vertical="top" wrapText="1"/>
    </xf>
    <xf borderId="0" fillId="2" fontId="11" numFmtId="0" xfId="0" applyAlignment="1" applyFont="1">
      <alignment horizontal="left" shrinkToFit="0" vertical="top" wrapText="1"/>
    </xf>
    <xf borderId="0" fillId="2" fontId="12" numFmtId="0" xfId="0" applyAlignment="1" applyFont="1">
      <alignment horizontal="left" shrinkToFit="0" vertical="top" wrapText="1"/>
    </xf>
    <xf borderId="0" fillId="3" fontId="13" numFmtId="0" xfId="0" applyAlignment="1" applyFont="1">
      <alignment shrinkToFit="0" vertical="top" wrapText="1"/>
    </xf>
    <xf borderId="0" fillId="4" fontId="12" numFmtId="0" xfId="0" applyAlignment="1" applyFont="1">
      <alignment horizontal="left" shrinkToFit="0" vertical="top" wrapText="1"/>
    </xf>
    <xf borderId="0" fillId="2" fontId="10" numFmtId="0" xfId="0" applyAlignment="1" applyFont="1">
      <alignment horizontal="left" readingOrder="0" shrinkToFit="0" vertical="top" wrapText="1"/>
    </xf>
    <xf borderId="0" fillId="2" fontId="10" numFmtId="0" xfId="0" applyAlignment="1" applyFont="1">
      <alignment horizontal="left" shrinkToFit="0" vertical="top" wrapText="1"/>
    </xf>
    <xf borderId="0" fillId="2" fontId="10" numFmtId="164" xfId="0" applyAlignment="1" applyFont="1" applyNumberFormat="1">
      <alignment horizontal="left" shrinkToFit="0" vertical="top" wrapText="1"/>
    </xf>
    <xf borderId="0" fillId="0" fontId="10" numFmtId="0" xfId="0" applyAlignment="1" applyFont="1">
      <alignment horizontal="left" shrinkToFit="0" vertical="top" wrapText="1"/>
    </xf>
    <xf borderId="0" fillId="3" fontId="12" numFmtId="0" xfId="0" applyAlignment="1" applyFont="1">
      <alignment horizontal="left" readingOrder="0" shrinkToFit="0" vertical="top" wrapText="1"/>
    </xf>
    <xf borderId="0" fillId="5" fontId="14" numFmtId="0" xfId="0" applyAlignment="1" applyFont="1">
      <alignment horizontal="left" shrinkToFit="0" vertical="top" wrapText="1"/>
    </xf>
    <xf borderId="0" fillId="2" fontId="12" numFmtId="0" xfId="0" applyAlignment="1" applyFont="1">
      <alignment horizontal="left" readingOrder="0" shrinkToFit="0" vertical="top" wrapText="1"/>
    </xf>
    <xf borderId="0" fillId="0" fontId="12" numFmtId="0" xfId="0" applyAlignment="1" applyFont="1">
      <alignment horizontal="left" readingOrder="0" shrinkToFit="0" vertical="top" wrapText="1"/>
    </xf>
    <xf borderId="0" fillId="4" fontId="13" numFmtId="0" xfId="0" applyAlignment="1" applyFont="1">
      <alignment horizontal="left" shrinkToFit="0" vertical="top" wrapText="1"/>
    </xf>
    <xf borderId="0" fillId="0" fontId="11" numFmtId="0" xfId="0" applyAlignment="1" applyFont="1">
      <alignment horizontal="left" shrinkToFit="0" vertical="top" wrapText="1"/>
    </xf>
    <xf borderId="0" fillId="2" fontId="12" numFmtId="9" xfId="0" applyAlignment="1" applyFont="1" applyNumberFormat="1">
      <alignment horizontal="left" readingOrder="0" shrinkToFit="0" vertical="top" wrapText="1"/>
    </xf>
    <xf borderId="0" fillId="5" fontId="12" numFmtId="0" xfId="0" applyAlignment="1" applyFont="1">
      <alignment horizontal="left" shrinkToFit="0" vertical="top" wrapText="1"/>
    </xf>
    <xf borderId="0" fillId="0" fontId="12" numFmtId="166" xfId="0" applyAlignment="1" applyFont="1" applyNumberFormat="1">
      <alignment horizontal="left" readingOrder="0" shrinkToFit="0" vertical="top" wrapText="1"/>
    </xf>
    <xf borderId="0" fillId="0" fontId="12" numFmtId="166" xfId="0" applyAlignment="1" applyFont="1" applyNumberFormat="1">
      <alignment horizontal="left" shrinkToFit="0" vertical="top" wrapText="1"/>
    </xf>
    <xf borderId="0" fillId="2" fontId="12" numFmtId="166" xfId="0" applyAlignment="1" applyFont="1" applyNumberFormat="1">
      <alignment horizontal="left" readingOrder="0" shrinkToFit="0" vertical="top" wrapText="1"/>
    </xf>
    <xf borderId="0" fillId="2" fontId="13" numFmtId="0" xfId="0" applyAlignment="1" applyFont="1">
      <alignment horizontal="left" shrinkToFit="0" vertical="top" wrapText="1"/>
    </xf>
    <xf borderId="0" fillId="6" fontId="13" numFmtId="0" xfId="0" applyAlignment="1" applyFont="1">
      <alignment horizontal="left" shrinkToFit="0" vertical="top" wrapText="1"/>
    </xf>
    <xf borderId="0" fillId="0" fontId="12" numFmtId="3" xfId="0" applyAlignment="1" applyFont="1" applyNumberFormat="1">
      <alignment horizontal="left" readingOrder="0" shrinkToFit="0" vertical="top" wrapText="1"/>
    </xf>
    <xf borderId="0" fillId="0" fontId="15" numFmtId="0" xfId="0" applyAlignment="1" applyFont="1">
      <alignment horizontal="left" readingOrder="0" shrinkToFit="0" vertical="top" wrapText="1"/>
    </xf>
    <xf borderId="0" fillId="7" fontId="13" numFmtId="0" xfId="0" applyAlignment="1" applyFont="1">
      <alignment horizontal="left" shrinkToFit="0" vertical="top" wrapText="1"/>
    </xf>
    <xf borderId="0" fillId="0" fontId="15" numFmtId="0" xfId="0" applyAlignment="1" applyFont="1">
      <alignment horizontal="left" readingOrder="0" shrinkToFit="0" vertical="top" wrapText="0"/>
    </xf>
    <xf borderId="0" fillId="0" fontId="13" numFmtId="0" xfId="0" applyAlignment="1" applyFont="1">
      <alignment horizontal="left" shrinkToFit="0" vertical="top" wrapText="1"/>
    </xf>
    <xf borderId="0" fillId="2" fontId="16" numFmtId="0" xfId="0" applyAlignment="1" applyFont="1">
      <alignment horizontal="left" shrinkToFit="0" vertical="top" wrapText="1"/>
    </xf>
    <xf borderId="0" fillId="2" fontId="17" numFmtId="0" xfId="0" applyAlignment="1" applyFont="1">
      <alignment horizontal="left" shrinkToFit="0" vertical="top" wrapText="1"/>
    </xf>
    <xf borderId="0" fillId="2" fontId="18" numFmtId="0" xfId="0" applyAlignment="1" applyFont="1">
      <alignment horizontal="left" shrinkToFit="0" vertical="top" wrapText="1"/>
    </xf>
    <xf borderId="0" fillId="3" fontId="3" numFmtId="164" xfId="0" applyAlignment="1" applyFont="1" applyNumberFormat="1">
      <alignment horizontal="left" readingOrder="0" shrinkToFit="0" vertical="top" wrapText="1"/>
    </xf>
    <xf borderId="0" fillId="4" fontId="18" numFmtId="0" xfId="0" applyAlignment="1" applyFont="1">
      <alignment horizontal="left" shrinkToFit="0" vertical="top" wrapText="1"/>
    </xf>
    <xf borderId="0" fillId="0" fontId="18" numFmtId="0" xfId="0" applyAlignment="1" applyFont="1">
      <alignment horizontal="left" readingOrder="0" shrinkToFit="0" vertical="top" wrapText="1"/>
    </xf>
    <xf borderId="0" fillId="0" fontId="18" numFmtId="164" xfId="0" applyAlignment="1" applyFont="1" applyNumberFormat="1">
      <alignment horizontal="left" readingOrder="0" shrinkToFit="0" vertical="top" wrapText="1"/>
    </xf>
    <xf borderId="0" fillId="0" fontId="10" numFmtId="164" xfId="0" applyAlignment="1" applyFont="1" applyNumberFormat="1">
      <alignment horizontal="left" shrinkToFit="0" vertical="top" wrapText="1"/>
    </xf>
    <xf borderId="0" fillId="3" fontId="19" numFmtId="164" xfId="0" applyAlignment="1" applyFont="1" applyNumberFormat="1">
      <alignment horizontal="left" readingOrder="0" shrinkToFit="0" vertical="top" wrapText="1"/>
    </xf>
    <xf borderId="0" fillId="5" fontId="20" numFmtId="0" xfId="0" applyAlignment="1" applyFont="1">
      <alignment horizontal="left" shrinkToFit="0" vertical="top" wrapText="1"/>
    </xf>
    <xf borderId="0" fillId="0" fontId="18" numFmtId="0" xfId="0" applyAlignment="1" applyFont="1">
      <alignment horizontal="left" shrinkToFit="0" vertical="top" wrapText="1"/>
    </xf>
    <xf borderId="0" fillId="0" fontId="18" numFmtId="165" xfId="0" applyAlignment="1" applyFont="1" applyNumberFormat="1">
      <alignment horizontal="left" readingOrder="0" shrinkToFit="0" vertical="top" wrapText="1"/>
    </xf>
    <xf borderId="0" fillId="0" fontId="17" numFmtId="0" xfId="0" applyAlignment="1" applyFont="1">
      <alignment horizontal="left" shrinkToFit="0" vertical="top" wrapText="1"/>
    </xf>
    <xf borderId="0" fillId="4" fontId="21" numFmtId="0" xfId="0" applyAlignment="1" applyFont="1">
      <alignment horizontal="left" shrinkToFit="0" vertical="top" wrapText="1"/>
    </xf>
    <xf borderId="0" fillId="0" fontId="17" numFmtId="164" xfId="0" applyAlignment="1" applyFont="1" applyNumberFormat="1">
      <alignment horizontal="left" shrinkToFit="0" vertical="top" wrapText="1"/>
    </xf>
    <xf borderId="0" fillId="0" fontId="18" numFmtId="9" xfId="0" applyAlignment="1" applyFont="1" applyNumberFormat="1">
      <alignment horizontal="left" readingOrder="0" shrinkToFit="0" vertical="top" wrapText="1"/>
    </xf>
    <xf borderId="0" fillId="5" fontId="18" numFmtId="0" xfId="0" applyAlignment="1" applyFont="1">
      <alignment horizontal="left" shrinkToFit="0" vertical="top" wrapText="1"/>
    </xf>
    <xf borderId="0" fillId="0" fontId="18" numFmtId="166" xfId="0" applyAlignment="1" applyFont="1" applyNumberFormat="1">
      <alignment horizontal="left" readingOrder="0" shrinkToFit="0" vertical="top" wrapText="1"/>
    </xf>
    <xf borderId="0" fillId="0" fontId="18" numFmtId="166" xfId="0" applyAlignment="1" applyFont="1" applyNumberFormat="1">
      <alignment horizontal="left" shrinkToFit="0" vertical="top" wrapText="1"/>
    </xf>
    <xf borderId="0" fillId="2" fontId="21" numFmtId="0" xfId="0" applyAlignment="1" applyFont="1">
      <alignment horizontal="left" shrinkToFit="0" vertical="top" wrapText="1"/>
    </xf>
    <xf borderId="0" fillId="6" fontId="21" numFmtId="0" xfId="0" applyAlignment="1" applyFont="1">
      <alignment horizontal="left" shrinkToFit="0" vertical="top" wrapText="1"/>
    </xf>
    <xf borderId="0" fillId="0" fontId="18" numFmtId="3" xfId="0" applyAlignment="1" applyFont="1" applyNumberFormat="1">
      <alignment horizontal="left" shrinkToFit="0" vertical="top" wrapText="1"/>
    </xf>
    <xf borderId="0" fillId="6" fontId="22" numFmtId="0" xfId="0" applyAlignment="1" applyFont="1">
      <alignment horizontal="left" shrinkToFit="0" vertical="top" wrapText="1"/>
    </xf>
    <xf borderId="0" fillId="0" fontId="9" numFmtId="0" xfId="0" applyAlignment="1" applyFont="1">
      <alignment horizontal="left" readingOrder="0" shrinkToFit="0" vertical="top" wrapText="1"/>
    </xf>
    <xf borderId="0" fillId="0" fontId="9" numFmtId="0" xfId="0" applyAlignment="1" applyFont="1">
      <alignment horizontal="left" shrinkToFit="0" vertical="top" wrapText="1"/>
    </xf>
    <xf borderId="0" fillId="7" fontId="21" numFmtId="0" xfId="0" applyAlignment="1" applyFont="1">
      <alignment horizontal="left" shrinkToFit="0" vertical="top" wrapText="1"/>
    </xf>
    <xf borderId="0" fillId="0" fontId="22" numFmtId="0" xfId="0" applyAlignment="1" applyFont="1">
      <alignment horizontal="left" shrinkToFit="0" vertical="top" wrapText="1"/>
    </xf>
    <xf borderId="0" fillId="2" fontId="17" numFmtId="0" xfId="0" applyAlignment="1" applyFont="1">
      <alignment horizontal="left" readingOrder="0" shrinkToFit="0" vertical="top" wrapText="1"/>
    </xf>
    <xf borderId="0" fillId="2" fontId="18" numFmtId="0" xfId="0" applyAlignment="1" applyFont="1">
      <alignment horizontal="left" readingOrder="0" shrinkToFit="0" vertical="top" wrapText="1"/>
    </xf>
    <xf borderId="0" fillId="0" fontId="18" numFmtId="10" xfId="0" applyAlignment="1" applyFont="1" applyNumberFormat="1">
      <alignment horizontal="left" shrinkToFit="0" vertical="top" wrapText="1"/>
    </xf>
    <xf borderId="0" fillId="2" fontId="5" numFmtId="167" xfId="0" applyAlignment="1" applyFont="1" applyNumberFormat="1">
      <alignment horizontal="left" readingOrder="0" shrinkToFit="0" vertical="top" wrapText="1"/>
    </xf>
    <xf borderId="0" fillId="2" fontId="5" numFmtId="164" xfId="0" applyAlignment="1" applyFont="1" applyNumberFormat="1">
      <alignment horizontal="left" shrinkToFit="0" vertical="top" wrapText="1"/>
    </xf>
    <xf borderId="0" fillId="3" fontId="3" numFmtId="3" xfId="0" applyAlignment="1" applyFont="1" applyNumberFormat="1">
      <alignment horizontal="left" shrinkToFit="0" vertical="top" wrapText="1"/>
    </xf>
    <xf borderId="0" fillId="0" fontId="11" numFmtId="3" xfId="0" applyAlignment="1" applyFont="1" applyNumberFormat="1">
      <alignment horizontal="left" shrinkToFit="0" vertical="top" wrapText="1"/>
    </xf>
    <xf borderId="0" fillId="0" fontId="23" numFmtId="3" xfId="0" applyAlignment="1" applyFont="1" applyNumberFormat="1">
      <alignment horizontal="left" shrinkToFit="0" vertical="top" wrapText="1"/>
    </xf>
    <xf borderId="0" fillId="0" fontId="21" numFmtId="0" xfId="0" applyAlignment="1" applyFont="1">
      <alignment horizontal="left" readingOrder="0" shrinkToFit="0" vertical="top" wrapText="1"/>
    </xf>
    <xf borderId="0" fillId="6" fontId="21" numFmtId="3" xfId="0" applyAlignment="1" applyFont="1" applyNumberFormat="1">
      <alignment horizontal="left" shrinkToFit="0" vertical="top" wrapText="1"/>
    </xf>
    <xf borderId="0" fillId="0" fontId="9" numFmtId="3" xfId="0" applyAlignment="1" applyFont="1" applyNumberFormat="1">
      <alignment horizontal="left" shrinkToFit="0" vertical="top" wrapText="1"/>
    </xf>
    <xf borderId="0" fillId="0" fontId="21" numFmtId="0" xfId="0" applyAlignment="1" applyFont="1">
      <alignment horizontal="left" shrinkToFit="0" vertical="top" wrapText="1"/>
    </xf>
    <xf borderId="0" fillId="0" fontId="18" numFmtId="9" xfId="0" applyAlignment="1" applyFont="1" applyNumberFormat="1">
      <alignment horizontal="left" shrinkToFit="0" vertical="top" wrapText="1"/>
    </xf>
    <xf borderId="0" fillId="4" fontId="24" numFmtId="0" xfId="0" applyAlignment="1" applyFont="1">
      <alignment horizontal="left" shrinkToFit="0" vertical="top" wrapText="1"/>
    </xf>
    <xf borderId="0" fillId="0" fontId="25" numFmtId="0" xfId="0" applyAlignment="1" applyFont="1">
      <alignment horizontal="left" readingOrder="0" shrinkToFit="0" vertical="top" wrapText="0"/>
    </xf>
    <xf borderId="0" fillId="0" fontId="18" numFmtId="0" xfId="0" applyAlignment="1" applyFont="1">
      <alignment horizontal="left" readingOrder="0" shrinkToFit="0" vertical="top" wrapText="0"/>
    </xf>
    <xf borderId="0" fillId="0" fontId="18" numFmtId="168" xfId="0" applyAlignment="1" applyFont="1" applyNumberFormat="1">
      <alignment horizontal="left" shrinkToFit="0" vertical="top" wrapText="1"/>
    </xf>
    <xf borderId="0" fillId="0" fontId="26" numFmtId="9" xfId="0" applyAlignment="1" applyFont="1" applyNumberFormat="1">
      <alignment horizontal="left" readingOrder="0" shrinkToFit="0" vertical="top" wrapText="1"/>
    </xf>
    <xf borderId="0" fillId="2" fontId="18" numFmtId="10" xfId="0" applyAlignment="1" applyFont="1" applyNumberFormat="1">
      <alignment horizontal="left" readingOrder="0" shrinkToFit="0" vertical="top" wrapText="1"/>
    </xf>
    <xf borderId="0" fillId="2" fontId="18" numFmtId="10" xfId="0" applyAlignment="1" applyFont="1" applyNumberFormat="1">
      <alignment horizontal="left" shrinkToFit="0" vertical="top" wrapText="1"/>
    </xf>
    <xf borderId="0" fillId="2" fontId="5" numFmtId="10" xfId="0" applyAlignment="1" applyFont="1" applyNumberFormat="1">
      <alignment horizontal="left" shrinkToFit="0" vertical="top" wrapText="1"/>
    </xf>
    <xf borderId="0" fillId="2" fontId="18" numFmtId="164" xfId="0" applyAlignment="1" applyFont="1" applyNumberFormat="1">
      <alignment horizontal="left" shrinkToFit="0" vertical="top" wrapText="1"/>
    </xf>
    <xf borderId="0" fillId="2" fontId="26" numFmtId="0" xfId="0" applyAlignment="1" applyFont="1">
      <alignment horizontal="left" readingOrder="0" shrinkToFit="0" vertical="top" wrapText="1"/>
    </xf>
    <xf borderId="0" fillId="2" fontId="18" numFmtId="168" xfId="0" applyAlignment="1" applyFont="1" applyNumberFormat="1">
      <alignment horizontal="left" shrinkToFit="0" vertical="top" wrapText="1"/>
    </xf>
    <xf borderId="0" fillId="2" fontId="17" numFmtId="10" xfId="0" applyAlignment="1" applyFont="1" applyNumberFormat="1">
      <alignment horizontal="left" shrinkToFit="0" vertical="top" wrapText="1"/>
    </xf>
    <xf borderId="0" fillId="2" fontId="23" numFmtId="3" xfId="0" applyAlignment="1" applyFont="1" applyNumberFormat="1">
      <alignment horizontal="left" shrinkToFit="0" vertical="top" wrapText="1"/>
    </xf>
    <xf borderId="0" fillId="2" fontId="18" numFmtId="9" xfId="0" applyAlignment="1" applyFont="1" applyNumberFormat="1">
      <alignment horizontal="left" readingOrder="0" shrinkToFit="0" vertical="top" wrapText="1"/>
    </xf>
    <xf borderId="0" fillId="2" fontId="21" numFmtId="0" xfId="0" applyAlignment="1" applyFont="1">
      <alignment horizontal="left" readingOrder="0" shrinkToFit="0" vertical="top" wrapText="1"/>
    </xf>
    <xf borderId="0" fillId="2" fontId="18" numFmtId="3" xfId="0" applyAlignment="1" applyFont="1" applyNumberFormat="1">
      <alignment horizontal="left" shrinkToFit="0" vertical="top" wrapText="1"/>
    </xf>
    <xf borderId="0" fillId="2" fontId="9" numFmtId="0" xfId="0" applyAlignment="1" applyFont="1">
      <alignment horizontal="left" readingOrder="0" shrinkToFit="0" vertical="top" wrapText="1"/>
    </xf>
    <xf borderId="0" fillId="2" fontId="27" numFmtId="0" xfId="0" applyAlignment="1" applyFont="1">
      <alignment horizontal="left" readingOrder="0" shrinkToFit="0" vertical="top" wrapText="0"/>
    </xf>
    <xf borderId="0" fillId="2" fontId="28" numFmtId="0" xfId="0" applyAlignment="1" applyFont="1">
      <alignment readingOrder="0" shrinkToFit="0" vertical="top" wrapText="0"/>
    </xf>
    <xf borderId="0" fillId="0" fontId="18" numFmtId="9" xfId="0" applyAlignment="1" applyFont="1" applyNumberFormat="1">
      <alignment horizontal="left" readingOrder="0" shrinkToFit="0" vertical="top" wrapText="0"/>
    </xf>
    <xf borderId="0" fillId="0" fontId="18" numFmtId="164" xfId="0" applyAlignment="1" applyFont="1" applyNumberFormat="1">
      <alignment horizontal="left" shrinkToFit="0" vertical="top" wrapText="1"/>
    </xf>
    <xf borderId="0" fillId="0" fontId="17" numFmtId="9" xfId="0" applyAlignment="1" applyFont="1" applyNumberFormat="1">
      <alignment horizontal="left" shrinkToFit="0" vertical="top" wrapText="1"/>
    </xf>
    <xf borderId="0" fillId="5" fontId="29" numFmtId="0" xfId="0" applyAlignment="1" applyFont="1">
      <alignment horizontal="left" shrinkToFit="0" vertical="top" wrapText="1"/>
    </xf>
    <xf borderId="0" fillId="0" fontId="29" numFmtId="164" xfId="0" applyAlignment="1" applyFont="1" applyNumberFormat="1">
      <alignment horizontal="left" shrinkToFit="0" vertical="top" wrapText="1"/>
    </xf>
    <xf borderId="0" fillId="0" fontId="29" numFmtId="0" xfId="0" applyAlignment="1" applyFont="1">
      <alignment horizontal="left" shrinkToFit="0" vertical="top" wrapText="1"/>
    </xf>
    <xf borderId="0" fillId="2" fontId="29" numFmtId="0" xfId="0" applyAlignment="1" applyFont="1">
      <alignment horizontal="left" shrinkToFit="0" vertical="top" wrapText="1"/>
    </xf>
    <xf borderId="0" fillId="6" fontId="29" numFmtId="0" xfId="0" applyAlignment="1" applyFont="1">
      <alignment horizontal="left" shrinkToFit="0" vertical="top" wrapText="1"/>
    </xf>
    <xf borderId="0" fillId="0" fontId="29" numFmtId="0" xfId="0" applyAlignment="1" applyFont="1">
      <alignment horizontal="left" readingOrder="0" shrinkToFit="0" vertical="top" wrapText="1"/>
    </xf>
    <xf borderId="0" fillId="7" fontId="29" numFmtId="0" xfId="0" applyAlignment="1" applyFont="1">
      <alignment horizontal="left" shrinkToFit="0" vertical="top" wrapText="1"/>
    </xf>
    <xf borderId="0" fillId="0" fontId="30" numFmtId="0" xfId="0" applyAlignment="1" applyFont="1">
      <alignment readingOrder="0" shrinkToFit="0" vertical="top" wrapText="0"/>
    </xf>
    <xf borderId="0" fillId="0" fontId="29" numFmtId="0" xfId="0" applyAlignment="1" applyFont="1">
      <alignment horizontal="left" shrinkToFit="0" vertical="top" wrapText="0"/>
    </xf>
    <xf borderId="0" fillId="3" fontId="31" numFmtId="164" xfId="0" applyAlignment="1" applyFont="1" applyNumberFormat="1">
      <alignment horizontal="left" readingOrder="0" shrinkToFit="0" vertical="top" wrapText="1"/>
    </xf>
    <xf borderId="0" fillId="4" fontId="29" numFmtId="0" xfId="0" applyAlignment="1" applyFont="1">
      <alignment horizontal="left" shrinkToFit="0" vertical="top" wrapText="1"/>
    </xf>
    <xf borderId="0" fillId="0" fontId="29" numFmtId="164" xfId="0" applyAlignment="1" applyFont="1" applyNumberFormat="1">
      <alignment horizontal="left" readingOrder="0" shrinkToFit="0" vertical="top" wrapText="1"/>
    </xf>
    <xf borderId="0" fillId="0" fontId="32" numFmtId="0" xfId="0" applyAlignment="1" applyFont="1">
      <alignment horizontal="left" readingOrder="0" shrinkToFit="0" vertical="top" wrapText="1"/>
    </xf>
    <xf borderId="0" fillId="0" fontId="18" numFmtId="10" xfId="0" applyAlignment="1" applyFont="1" applyNumberFormat="1">
      <alignment horizontal="left" readingOrder="0" shrinkToFit="0" vertical="top" wrapText="1"/>
    </xf>
    <xf borderId="0" fillId="0" fontId="33" numFmtId="3" xfId="0" applyAlignment="1" applyFont="1" applyNumberFormat="1">
      <alignment horizontal="left" readingOrder="0" shrinkToFit="0" vertical="top" wrapText="0"/>
    </xf>
    <xf borderId="0" fillId="0" fontId="34" numFmtId="3" xfId="0" applyAlignment="1" applyFont="1" applyNumberFormat="1">
      <alignment horizontal="left" readingOrder="0" shrinkToFit="0" vertical="top" wrapText="1"/>
    </xf>
    <xf borderId="0" fillId="0" fontId="29" numFmtId="9" xfId="0" applyAlignment="1" applyFont="1" applyNumberFormat="1">
      <alignment horizontal="left" readingOrder="0" shrinkToFit="0" vertical="top" wrapText="1"/>
    </xf>
    <xf borderId="0" fillId="0" fontId="18" numFmtId="169" xfId="0" applyAlignment="1" applyFont="1" applyNumberFormat="1">
      <alignment horizontal="left" shrinkToFit="0" vertical="top" wrapText="1"/>
    </xf>
    <xf borderId="0" fillId="0" fontId="18" numFmtId="170" xfId="0" applyAlignment="1" applyFont="1" applyNumberFormat="1">
      <alignment horizontal="left" shrinkToFit="0" vertical="top" wrapText="1"/>
    </xf>
    <xf borderId="0" fillId="0" fontId="18" numFmtId="164" xfId="0" applyAlignment="1" applyFont="1" applyNumberFormat="1">
      <alignment horizontal="left" readingOrder="0" shrinkToFit="0" vertical="top" wrapText="0"/>
    </xf>
    <xf borderId="0" fillId="0" fontId="35" numFmtId="0" xfId="0" applyAlignment="1" applyFont="1">
      <alignment horizontal="left" shrinkToFit="0" vertical="top" wrapText="1"/>
    </xf>
    <xf borderId="0" fillId="0" fontId="9" numFmtId="171" xfId="0" applyAlignment="1" applyFont="1" applyNumberFormat="1">
      <alignment horizontal="left" readingOrder="0" shrinkToFit="0" vertical="top" wrapText="1"/>
    </xf>
    <xf borderId="0" fillId="0" fontId="9" numFmtId="171" xfId="0" applyAlignment="1" applyFont="1" applyNumberFormat="1">
      <alignment horizontal="left" shrinkToFit="0" vertical="top" wrapText="1"/>
    </xf>
    <xf borderId="0" fillId="0" fontId="36" numFmtId="0" xfId="0" applyAlignment="1" applyFont="1">
      <alignment horizontal="left" readingOrder="0" shrinkToFit="0" vertical="top" wrapText="0"/>
    </xf>
    <xf borderId="0" fillId="2" fontId="5" numFmtId="172" xfId="0" applyAlignment="1" applyFont="1" applyNumberFormat="1">
      <alignment horizontal="left" shrinkToFit="0" vertical="top" wrapText="1"/>
    </xf>
    <xf borderId="0" fillId="0" fontId="9" numFmtId="164" xfId="0" applyAlignment="1" applyFont="1" applyNumberFormat="1">
      <alignment horizontal="left" readingOrder="0" shrinkToFit="0" vertical="top" wrapText="1"/>
    </xf>
    <xf borderId="0" fillId="0" fontId="9" numFmtId="3" xfId="0" applyAlignment="1" applyFont="1" applyNumberFormat="1">
      <alignment horizontal="left" readingOrder="0" shrinkToFit="0" vertical="top" wrapText="1"/>
    </xf>
    <xf borderId="0" fillId="2" fontId="5" numFmtId="166" xfId="0" applyAlignment="1" applyFont="1" applyNumberFormat="1">
      <alignment horizontal="left" readingOrder="0" shrinkToFit="0" vertical="top" wrapText="1"/>
    </xf>
    <xf borderId="0" fillId="0" fontId="18" numFmtId="172" xfId="0" applyAlignment="1" applyFont="1" applyNumberFormat="1">
      <alignment horizontal="left" shrinkToFit="0" vertical="top" wrapText="1"/>
    </xf>
    <xf borderId="0" fillId="0" fontId="18" numFmtId="172" xfId="0" applyAlignment="1" applyFont="1" applyNumberFormat="1">
      <alignment horizontal="left" readingOrder="0" shrinkToFit="0" vertical="top" wrapText="1"/>
    </xf>
    <xf borderId="0" fillId="0" fontId="9" numFmtId="173" xfId="0" applyAlignment="1" applyFont="1" applyNumberFormat="1">
      <alignment horizontal="left" shrinkToFit="0" vertical="top" wrapText="1"/>
    </xf>
    <xf borderId="0" fillId="0" fontId="18" numFmtId="170" xfId="0" applyAlignment="1" applyFont="1" applyNumberFormat="1">
      <alignment horizontal="left" readingOrder="0" shrinkToFit="0" vertical="top" wrapText="1"/>
    </xf>
    <xf borderId="0" fillId="0" fontId="18" numFmtId="174" xfId="0" applyAlignment="1" applyFont="1" applyNumberFormat="1">
      <alignment horizontal="left" readingOrder="0" shrinkToFit="0" vertical="top" wrapText="1"/>
    </xf>
    <xf borderId="0" fillId="2" fontId="5" numFmtId="166" xfId="0" applyAlignment="1" applyFont="1" applyNumberFormat="1">
      <alignment horizontal="left" shrinkToFit="0" vertical="top" wrapText="1"/>
    </xf>
    <xf borderId="0" fillId="0" fontId="37" numFmtId="0" xfId="0" applyAlignment="1" applyFont="1">
      <alignment horizontal="left" readingOrder="0" shrinkToFit="0" vertical="top" wrapText="1"/>
    </xf>
    <xf borderId="0" fillId="0" fontId="18" numFmtId="175" xfId="0" applyAlignment="1" applyFont="1" applyNumberFormat="1">
      <alignment horizontal="left" shrinkToFit="0" vertical="top" wrapText="1"/>
    </xf>
    <xf borderId="0" fillId="0" fontId="9" numFmtId="164" xfId="0" applyAlignment="1" applyFont="1" applyNumberFormat="1">
      <alignment horizontal="left" shrinkToFit="0" vertical="top" wrapText="1"/>
    </xf>
    <xf borderId="0" fillId="2" fontId="1" numFmtId="0" xfId="0" applyAlignment="1" applyFont="1">
      <alignment horizontal="left" shrinkToFit="0" vertical="top" wrapText="1"/>
    </xf>
    <xf borderId="0" fillId="3" fontId="1" numFmtId="164" xfId="0" applyAlignment="1" applyFont="1" applyNumberFormat="1">
      <alignment horizontal="left" shrinkToFit="0" vertical="top" wrapText="1"/>
    </xf>
    <xf borderId="0" fillId="3" fontId="1" numFmtId="0" xfId="0" applyAlignment="1" applyFont="1">
      <alignment horizontal="left" shrinkToFit="0" vertical="top" wrapText="1"/>
    </xf>
    <xf borderId="0" fillId="0" fontId="38" numFmtId="0" xfId="0" applyAlignment="1" applyFont="1">
      <alignment horizontal="left" shrinkToFit="0" vertical="top" wrapText="1"/>
    </xf>
    <xf borderId="0" fillId="0" fontId="21" numFmtId="9" xfId="0" applyAlignment="1" applyFont="1" applyNumberFormat="1">
      <alignment horizontal="left" shrinkToFit="0" vertical="top" wrapText="1"/>
    </xf>
    <xf borderId="0" fillId="5" fontId="21" numFmtId="0" xfId="0" applyAlignment="1" applyFont="1">
      <alignment horizontal="left" shrinkToFit="0" vertical="top" wrapText="1"/>
    </xf>
    <xf borderId="0" fillId="0" fontId="21" numFmtId="166" xfId="0" applyAlignment="1" applyFont="1" applyNumberFormat="1">
      <alignment horizontal="left" shrinkToFit="0" vertical="top" wrapText="1"/>
    </xf>
    <xf borderId="0" fillId="0" fontId="21" numFmtId="3" xfId="0" applyAlignment="1" applyFont="1" applyNumberFormat="1">
      <alignment horizontal="left" shrinkToFit="0" vertical="top" wrapText="1"/>
    </xf>
    <xf borderId="0" fillId="0" fontId="21" numFmtId="0" xfId="0" applyAlignment="1" applyFont="1">
      <alignment horizontal="left" shrinkToFit="0" vertical="top" wrapText="0"/>
    </xf>
    <xf borderId="0" fillId="8" fontId="3" numFmtId="0" xfId="0" applyAlignment="1" applyFill="1" applyFont="1">
      <alignment horizontal="left" readingOrder="0" shrinkToFit="0" vertical="top" wrapText="1"/>
    </xf>
    <xf borderId="0" fillId="8" fontId="18" numFmtId="0" xfId="0" applyAlignment="1" applyFont="1">
      <alignment horizontal="left" shrinkToFit="0" vertical="top" wrapText="1"/>
    </xf>
    <xf borderId="0" fillId="3" fontId="3" numFmtId="0" xfId="0" applyAlignment="1" applyFont="1">
      <alignment horizontal="left" readingOrder="0" shrinkToFit="0" vertical="top" wrapText="1"/>
    </xf>
    <xf borderId="0" fillId="4" fontId="23" numFmtId="0" xfId="0" applyAlignment="1" applyFont="1">
      <alignment horizontal="left" shrinkToFit="0" vertical="top" wrapText="1"/>
    </xf>
    <xf borderId="0" fillId="9" fontId="18" numFmtId="164" xfId="0" applyAlignment="1" applyFill="1" applyFont="1" applyNumberFormat="1">
      <alignment horizontal="left" readingOrder="0" shrinkToFit="0" vertical="top" wrapText="1"/>
    </xf>
    <xf borderId="0" fillId="9" fontId="18" numFmtId="0" xfId="0" applyAlignment="1" applyFont="1">
      <alignment horizontal="left" shrinkToFit="0" vertical="top" wrapText="1"/>
    </xf>
    <xf borderId="0" fillId="9" fontId="18" numFmtId="0" xfId="0" applyAlignment="1" applyFont="1">
      <alignment horizontal="left" readingOrder="0" shrinkToFit="0" vertical="top" wrapText="1"/>
    </xf>
    <xf borderId="0" fillId="3" fontId="23" numFmtId="0" xfId="0" applyAlignment="1" applyFont="1">
      <alignment horizontal="left" readingOrder="0" shrinkToFit="0" vertical="top" wrapText="1"/>
    </xf>
    <xf borderId="0" fillId="9" fontId="23" numFmtId="0" xfId="0" applyAlignment="1" applyFont="1">
      <alignment horizontal="left" shrinkToFit="0" vertical="top" wrapText="1"/>
    </xf>
    <xf borderId="0" fillId="9" fontId="18" numFmtId="165" xfId="0" applyAlignment="1" applyFont="1" applyNumberFormat="1">
      <alignment horizontal="left" shrinkToFit="0" vertical="top" wrapText="1"/>
    </xf>
    <xf borderId="0" fillId="9" fontId="39" numFmtId="0" xfId="0" applyAlignment="1" applyFont="1">
      <alignment horizontal="left" shrinkToFit="0" vertical="top" wrapText="1"/>
    </xf>
    <xf borderId="0" fillId="9" fontId="23" numFmtId="0" xfId="0" applyAlignment="1" applyFont="1">
      <alignment horizontal="left" readingOrder="0" shrinkToFit="0" vertical="top" wrapText="1"/>
    </xf>
    <xf borderId="0" fillId="9" fontId="23" numFmtId="164" xfId="0" applyAlignment="1" applyFont="1" applyNumberFormat="1">
      <alignment horizontal="left" readingOrder="0" shrinkToFit="0" vertical="top" wrapText="1"/>
    </xf>
    <xf borderId="0" fillId="9" fontId="23" numFmtId="164" xfId="0" applyAlignment="1" applyFont="1" applyNumberFormat="1">
      <alignment horizontal="left" shrinkToFit="0" vertical="top" wrapText="1"/>
    </xf>
    <xf borderId="0" fillId="6" fontId="18" numFmtId="0" xfId="0" applyAlignment="1" applyFont="1">
      <alignment horizontal="left" shrinkToFit="0" vertical="top" wrapText="1"/>
    </xf>
    <xf borderId="0" fillId="9" fontId="23" numFmtId="3" xfId="0" applyAlignment="1" applyFont="1" applyNumberFormat="1">
      <alignment horizontal="left" readingOrder="0" shrinkToFit="0" vertical="top" wrapText="1"/>
    </xf>
    <xf borderId="0" fillId="7" fontId="18" numFmtId="0" xfId="0" applyAlignment="1" applyFont="1">
      <alignment horizontal="left" shrinkToFit="0" vertical="top" wrapText="1"/>
    </xf>
    <xf borderId="0" fillId="9" fontId="18" numFmtId="0" xfId="0" applyAlignment="1" applyFont="1">
      <alignment horizontal="left" shrinkToFit="0" vertical="top" wrapText="0"/>
    </xf>
    <xf borderId="0" fillId="2" fontId="5" numFmtId="9" xfId="0" applyAlignment="1" applyFont="1" applyNumberFormat="1">
      <alignment horizontal="left" shrinkToFit="0" vertical="top" wrapText="1"/>
    </xf>
    <xf borderId="0" fillId="0" fontId="18" numFmtId="165" xfId="0" applyAlignment="1" applyFont="1" applyNumberFormat="1">
      <alignment horizontal="left" shrinkToFit="0" vertical="top" wrapText="1"/>
    </xf>
    <xf borderId="0" fillId="0" fontId="18" numFmtId="0" xfId="0" applyAlignment="1" applyFont="1">
      <alignment horizontal="left" shrinkToFit="0" vertical="top" wrapText="0"/>
    </xf>
    <xf borderId="0" fillId="0" fontId="18" numFmtId="10" xfId="0" applyAlignment="1" applyFont="1" applyNumberFormat="1">
      <alignment horizontal="left" readingOrder="0" shrinkToFit="0" vertical="top" wrapText="0"/>
    </xf>
    <xf borderId="0" fillId="2" fontId="23" numFmtId="0" xfId="0" applyAlignment="1" applyFont="1">
      <alignment horizontal="left" shrinkToFit="0" vertical="top" wrapText="1"/>
    </xf>
    <xf borderId="0" fillId="3" fontId="31" numFmtId="164" xfId="0" applyAlignment="1" applyFont="1" applyNumberFormat="1">
      <alignment horizontal="left" shrinkToFit="0" vertical="top" wrapText="1"/>
    </xf>
    <xf borderId="0" fillId="0" fontId="24" numFmtId="0" xfId="0" applyAlignment="1" applyFont="1">
      <alignment horizontal="left" shrinkToFit="0" vertical="top" wrapText="1"/>
    </xf>
    <xf borderId="0" fillId="3" fontId="40" numFmtId="0" xfId="0" applyAlignment="1" applyFont="1">
      <alignment horizontal="left" shrinkToFit="0" vertical="top" wrapText="1"/>
    </xf>
    <xf borderId="0" fillId="0" fontId="39" numFmtId="0" xfId="0" applyAlignment="1" applyFont="1">
      <alignment horizontal="left" shrinkToFit="0" vertical="top" wrapText="1"/>
    </xf>
    <xf borderId="0" fillId="0" fontId="40" numFmtId="0" xfId="0" applyAlignment="1" applyFont="1">
      <alignment horizontal="left" shrinkToFit="0" vertical="top" wrapText="1"/>
    </xf>
    <xf borderId="0" fillId="0" fontId="40" numFmtId="9" xfId="0" applyAlignment="1" applyFont="1" applyNumberFormat="1">
      <alignment horizontal="left" shrinkToFit="0" vertical="top" wrapText="1"/>
    </xf>
    <xf borderId="0" fillId="0" fontId="29" numFmtId="9" xfId="0" applyAlignment="1" applyFont="1" applyNumberFormat="1">
      <alignment horizontal="left" shrinkToFit="0" vertical="top" wrapText="1"/>
    </xf>
    <xf borderId="0" fillId="0" fontId="40" numFmtId="166" xfId="0" applyAlignment="1" applyFont="1" applyNumberFormat="1">
      <alignment horizontal="left" shrinkToFit="0" vertical="top" wrapText="1"/>
    </xf>
    <xf borderId="0" fillId="0" fontId="41" numFmtId="0" xfId="0" applyAlignment="1" applyFont="1">
      <alignment horizontal="left" shrinkToFit="0" vertical="top" wrapText="1"/>
    </xf>
    <xf borderId="0" fillId="0" fontId="38" numFmtId="0" xfId="0" applyAlignment="1" applyFont="1">
      <alignment horizontal="left" readingOrder="0" shrinkToFit="0" vertical="top" wrapText="1"/>
    </xf>
    <xf borderId="0" fillId="0" fontId="23" numFmtId="0" xfId="0" applyAlignment="1" applyFont="1">
      <alignment horizontal="left" readingOrder="0" shrinkToFit="0" vertical="top" wrapText="1"/>
    </xf>
    <xf borderId="0" fillId="0" fontId="42" numFmtId="0" xfId="0" applyAlignment="1" applyFont="1">
      <alignment horizontal="left" readingOrder="0" shrinkToFit="0" vertical="top" wrapText="1"/>
    </xf>
    <xf borderId="0" fillId="0" fontId="42" numFmtId="176" xfId="0" applyAlignment="1" applyFont="1" applyNumberFormat="1">
      <alignment horizontal="left" readingOrder="0" shrinkToFit="0" vertical="top" wrapText="1"/>
    </xf>
    <xf borderId="0" fillId="0" fontId="42" numFmtId="9" xfId="0" applyAlignment="1" applyFont="1" applyNumberFormat="1">
      <alignment horizontal="left" readingOrder="0" shrinkToFit="0" vertical="top" wrapText="1"/>
    </xf>
    <xf borderId="0" fillId="6" fontId="38" numFmtId="0" xfId="0" applyAlignment="1" applyFont="1">
      <alignment horizontal="left" shrinkToFit="0" vertical="top" wrapText="1"/>
    </xf>
    <xf borderId="0" fillId="0" fontId="42" numFmtId="3" xfId="0" applyAlignment="1" applyFont="1" applyNumberFormat="1">
      <alignment horizontal="left" readingOrder="0" shrinkToFit="0" vertical="top" wrapText="1"/>
    </xf>
    <xf borderId="0" fillId="7" fontId="38" numFmtId="0" xfId="0" applyAlignment="1" applyFont="1">
      <alignment horizontal="left" shrinkToFit="0" vertical="top" wrapText="1"/>
    </xf>
    <xf borderId="0" fillId="0" fontId="42" numFmtId="0" xfId="0" applyAlignment="1" applyFont="1">
      <alignment horizontal="left" readingOrder="0" shrinkToFit="0" vertical="top" wrapText="0"/>
    </xf>
    <xf borderId="0" fillId="0" fontId="39" numFmtId="0" xfId="0" applyAlignment="1" applyFont="1">
      <alignment horizontal="left" readingOrder="0" shrinkToFit="0" vertical="top" wrapText="1"/>
    </xf>
    <xf borderId="0" fillId="0" fontId="43" numFmtId="0" xfId="0" applyAlignment="1" applyFont="1">
      <alignment shrinkToFit="0" vertical="top" wrapText="1"/>
    </xf>
    <xf borderId="0" fillId="0" fontId="18" numFmtId="0" xfId="0" applyAlignment="1" applyFont="1">
      <alignment shrinkToFit="0" vertical="top" wrapText="1"/>
    </xf>
    <xf borderId="0" fillId="0" fontId="9" numFmtId="0" xfId="0" applyAlignment="1" applyFont="1">
      <alignment readingOrder="0" shrinkToFit="0" vertical="top" wrapText="1"/>
    </xf>
    <xf borderId="0" fillId="0" fontId="9" numFmtId="176" xfId="0" applyAlignment="1" applyFont="1" applyNumberFormat="1">
      <alignment horizontal="left" readingOrder="0" shrinkToFit="0" vertical="top" wrapText="1"/>
    </xf>
    <xf borderId="0" fillId="0" fontId="9" numFmtId="176" xfId="0" applyAlignment="1" applyFont="1" applyNumberFormat="1">
      <alignment horizontal="right" readingOrder="0" shrinkToFit="0" vertical="top" wrapText="1"/>
    </xf>
    <xf borderId="0" fillId="0" fontId="9" numFmtId="9" xfId="0" applyAlignment="1" applyFont="1" applyNumberFormat="1">
      <alignment shrinkToFit="0" vertical="top" wrapText="1"/>
    </xf>
    <xf borderId="0" fillId="0" fontId="18" numFmtId="0" xfId="0" applyAlignment="1" applyFont="1">
      <alignment readingOrder="0" shrinkToFit="0" vertical="top" wrapText="1"/>
    </xf>
    <xf borderId="0" fillId="6" fontId="21" numFmtId="0" xfId="0" applyAlignment="1" applyFont="1">
      <alignment shrinkToFit="0" vertical="top" wrapText="1"/>
    </xf>
    <xf borderId="0" fillId="0" fontId="9" numFmtId="0" xfId="0" applyAlignment="1" applyFont="1">
      <alignment horizontal="right" readingOrder="0" shrinkToFit="0" vertical="top" wrapText="1"/>
    </xf>
    <xf borderId="0" fillId="0" fontId="9" numFmtId="3" xfId="0" applyAlignment="1" applyFont="1" applyNumberFormat="1">
      <alignment shrinkToFit="0" vertical="top" wrapText="1"/>
    </xf>
    <xf borderId="0" fillId="6" fontId="22" numFmtId="0" xfId="0" applyAlignment="1" applyFont="1">
      <alignment shrinkToFit="0" vertical="top" wrapText="1"/>
    </xf>
    <xf borderId="0" fillId="0" fontId="22" numFmtId="0" xfId="0" applyAlignment="1" applyFont="1">
      <alignment readingOrder="0" shrinkToFit="0" vertical="top" wrapText="1"/>
    </xf>
    <xf borderId="0" fillId="0" fontId="9" numFmtId="0" xfId="0" applyAlignment="1" applyFont="1">
      <alignment shrinkToFit="0" vertical="top" wrapText="1"/>
    </xf>
    <xf borderId="0" fillId="7" fontId="21" numFmtId="0" xfId="0" applyAlignment="1" applyFont="1">
      <alignment shrinkToFit="0" vertical="top" wrapText="1"/>
    </xf>
    <xf borderId="0" fillId="0" fontId="9" numFmtId="0" xfId="0" applyAlignment="1" applyFont="1">
      <alignment shrinkToFit="0" vertical="top" wrapText="0"/>
    </xf>
    <xf borderId="0" fillId="0" fontId="17" numFmtId="0" xfId="0" applyAlignment="1" applyFont="1">
      <alignment readingOrder="0" shrinkToFit="0" vertical="top" wrapText="1"/>
    </xf>
    <xf borderId="0" fillId="0" fontId="22" numFmtId="0" xfId="0" applyAlignment="1" applyFont="1">
      <alignment shrinkToFit="0" vertical="top" wrapText="1"/>
    </xf>
    <xf borderId="0" fillId="0" fontId="21" numFmtId="0" xfId="0" applyAlignment="1" applyFont="1">
      <alignment readingOrder="0" shrinkToFit="0" vertical="top" wrapText="1"/>
    </xf>
    <xf borderId="0" fillId="0" fontId="9" numFmtId="10" xfId="0" applyAlignment="1" applyFont="1" applyNumberFormat="1">
      <alignment horizontal="left" readingOrder="0" shrinkToFit="0" vertical="top" wrapText="1"/>
    </xf>
    <xf borderId="0" fillId="0" fontId="9" numFmtId="176" xfId="0" applyAlignment="1" applyFont="1" applyNumberFormat="1">
      <alignment horizontal="right" shrinkToFit="0" vertical="top" wrapText="1"/>
    </xf>
    <xf borderId="0" fillId="0" fontId="18" numFmtId="3" xfId="0" applyAlignment="1" applyFont="1" applyNumberFormat="1">
      <alignment shrinkToFit="0" vertical="top" wrapText="1"/>
    </xf>
    <xf borderId="0" fillId="0" fontId="9" numFmtId="0" xfId="0" applyAlignment="1" applyFont="1">
      <alignment horizontal="right" shrinkToFit="0" vertical="top" wrapText="1"/>
    </xf>
    <xf borderId="0" fillId="6" fontId="21" numFmtId="3" xfId="0" applyAlignment="1" applyFont="1" applyNumberFormat="1">
      <alignment shrinkToFit="0" vertical="top" wrapText="1"/>
    </xf>
    <xf borderId="0" fillId="0" fontId="21" numFmtId="3" xfId="0" applyAlignment="1" applyFont="1" applyNumberFormat="1">
      <alignment shrinkToFit="0" vertical="top" wrapText="1"/>
    </xf>
    <xf borderId="0" fillId="0" fontId="17" numFmtId="3" xfId="0" applyAlignment="1" applyFont="1" applyNumberFormat="1">
      <alignment shrinkToFit="0" vertical="top" wrapText="1"/>
    </xf>
    <xf borderId="0" fillId="0" fontId="21" numFmtId="0" xfId="0" applyAlignment="1" applyFont="1">
      <alignment shrinkToFit="0" vertical="top" wrapText="1"/>
    </xf>
    <xf borderId="0" fillId="0" fontId="9" numFmtId="176" xfId="0" applyAlignment="1" applyFont="1" applyNumberFormat="1">
      <alignment horizontal="left" shrinkToFit="0" vertical="top" wrapText="1"/>
    </xf>
    <xf borderId="0" fillId="0" fontId="9" numFmtId="4" xfId="0" applyAlignment="1" applyFont="1" applyNumberFormat="1">
      <alignment shrinkToFit="0" vertical="top" wrapText="1"/>
    </xf>
    <xf borderId="0" fillId="0" fontId="9" numFmtId="9" xfId="0" applyAlignment="1" applyFont="1" applyNumberFormat="1">
      <alignment horizontal="right" readingOrder="0" shrinkToFit="0" vertical="top" wrapText="1"/>
    </xf>
    <xf borderId="0" fillId="0" fontId="9" numFmtId="170" xfId="0" applyAlignment="1" applyFont="1" applyNumberFormat="1">
      <alignment readingOrder="0" shrinkToFit="0" vertical="top" wrapText="1"/>
    </xf>
    <xf borderId="0" fillId="0" fontId="9" numFmtId="175" xfId="0" applyAlignment="1" applyFont="1" applyNumberFormat="1">
      <alignment shrinkToFit="0" vertical="top" wrapText="1"/>
    </xf>
    <xf borderId="0" fillId="0" fontId="9" numFmtId="0" xfId="0" applyAlignment="1" applyFont="1">
      <alignment shrinkToFit="0" vertical="top" wrapText="1"/>
    </xf>
    <xf borderId="0" fillId="0" fontId="9" numFmtId="172" xfId="0" applyAlignment="1" applyFont="1" applyNumberFormat="1">
      <alignment horizontal="left" shrinkToFit="0" vertical="top" wrapText="1"/>
    </xf>
    <xf borderId="0" fillId="0" fontId="9" numFmtId="0" xfId="0" applyAlignment="1" applyFont="1">
      <alignment readingOrder="0" shrinkToFit="0" vertical="top" wrapText="0"/>
    </xf>
    <xf borderId="0" fillId="0" fontId="38" numFmtId="0" xfId="0" applyAlignment="1" applyFont="1">
      <alignment shrinkToFit="0" vertical="top" wrapText="1"/>
    </xf>
    <xf borderId="0" fillId="0" fontId="42" numFmtId="176" xfId="0" applyAlignment="1" applyFont="1" applyNumberFormat="1">
      <alignment horizontal="right" shrinkToFit="0" vertical="top" wrapText="1"/>
    </xf>
    <xf borderId="0" fillId="0" fontId="42" numFmtId="9" xfId="0" applyAlignment="1" applyFont="1" applyNumberFormat="1">
      <alignment shrinkToFit="0" vertical="top" wrapText="1"/>
    </xf>
    <xf borderId="0" fillId="0" fontId="23" numFmtId="0" xfId="0" applyAlignment="1" applyFont="1">
      <alignment shrinkToFit="0" vertical="top" wrapText="1"/>
    </xf>
    <xf borderId="0" fillId="0" fontId="17" numFmtId="0" xfId="0" applyAlignment="1" applyFont="1">
      <alignment shrinkToFit="0" vertical="top" wrapText="1"/>
    </xf>
    <xf borderId="0" fillId="0" fontId="38" numFmtId="0" xfId="0" applyAlignment="1" applyFont="1">
      <alignment readingOrder="0" shrinkToFit="0" wrapText="1"/>
    </xf>
    <xf borderId="0" fillId="0" fontId="21" numFmtId="0" xfId="0" applyAlignment="1" applyFont="1">
      <alignment readingOrder="0" shrinkToFit="0" wrapText="1"/>
    </xf>
    <xf borderId="0" fillId="0" fontId="21" numFmtId="0" xfId="0" applyAlignment="1" applyFont="1">
      <alignment horizontal="left" readingOrder="0" shrinkToFit="0" vertical="bottom" wrapText="1"/>
    </xf>
    <xf borderId="0" fillId="0" fontId="21" numFmtId="4" xfId="0" applyAlignment="1" applyFont="1" applyNumberFormat="1">
      <alignment horizontal="left" readingOrder="0" shrinkToFit="0" vertical="bottom" wrapText="1"/>
    </xf>
    <xf borderId="0" fillId="0" fontId="38" numFmtId="172" xfId="0" applyAlignment="1" applyFont="1" applyNumberFormat="1">
      <alignment horizontal="right" readingOrder="0" shrinkToFit="0" vertical="bottom" wrapText="1"/>
    </xf>
    <xf borderId="0" fillId="0" fontId="44" numFmtId="0" xfId="0" applyAlignment="1" applyFont="1">
      <alignment readingOrder="0" shrinkToFit="0" wrapText="1"/>
    </xf>
    <xf borderId="0" fillId="10" fontId="38" numFmtId="0" xfId="0" applyAlignment="1" applyFill="1" applyFont="1">
      <alignment shrinkToFit="0" wrapText="1"/>
    </xf>
    <xf borderId="0" fillId="0" fontId="38" numFmtId="0" xfId="0" applyAlignment="1" applyFont="1">
      <alignment horizontal="right" readingOrder="0" shrinkToFit="0" vertical="bottom" wrapText="1"/>
    </xf>
    <xf borderId="0" fillId="11" fontId="38" numFmtId="0" xfId="0" applyAlignment="1" applyFill="1" applyFont="1">
      <alignment shrinkToFit="0" wrapText="1"/>
    </xf>
    <xf borderId="0" fillId="0" fontId="43" numFmtId="3" xfId="0" applyAlignment="1" applyFont="1" applyNumberFormat="1">
      <alignment readingOrder="0" shrinkToFit="0" wrapText="1"/>
    </xf>
    <xf borderId="0" fillId="0" fontId="45" numFmtId="0" xfId="0" applyAlignment="1" applyFont="1">
      <alignment readingOrder="0" shrinkToFit="0" wrapText="1"/>
    </xf>
    <xf borderId="0" fillId="0" fontId="38" numFmtId="0" xfId="0" applyAlignment="1" applyFont="1">
      <alignment shrinkToFit="0" wrapText="1"/>
    </xf>
    <xf borderId="0" fillId="0" fontId="22" numFmtId="0" xfId="0" applyAlignment="1" applyFont="1">
      <alignment horizontal="left" readingOrder="0" shrinkToFit="0" vertical="top" wrapText="1"/>
    </xf>
    <xf borderId="0" fillId="0" fontId="22" numFmtId="4" xfId="0" applyAlignment="1" applyFont="1" applyNumberFormat="1">
      <alignment horizontal="left" readingOrder="0" shrinkToFit="0" vertical="top" wrapText="1"/>
    </xf>
    <xf borderId="0" fillId="0" fontId="43" numFmtId="172" xfId="0" applyAlignment="1" applyFont="1" applyNumberFormat="1">
      <alignment horizontal="right" readingOrder="0" shrinkToFit="0" vertical="top" wrapText="1"/>
    </xf>
    <xf borderId="0" fillId="0" fontId="46" numFmtId="0" xfId="0" applyAlignment="1" applyFont="1">
      <alignment readingOrder="0" shrinkToFit="0" vertical="top" wrapText="1"/>
    </xf>
    <xf borderId="0" fillId="10" fontId="21" numFmtId="0" xfId="0" applyAlignment="1" applyFont="1">
      <alignment shrinkToFit="0" vertical="top" wrapText="1"/>
    </xf>
    <xf borderId="0" fillId="0" fontId="22" numFmtId="0" xfId="0" applyAlignment="1" applyFont="1">
      <alignment horizontal="right" readingOrder="0" shrinkToFit="0" vertical="top" wrapText="1"/>
    </xf>
    <xf borderId="0" fillId="11" fontId="21" numFmtId="0" xfId="0" applyAlignment="1" applyFont="1">
      <alignment shrinkToFit="0" vertical="top" wrapText="1"/>
    </xf>
    <xf borderId="0" fillId="0" fontId="22" numFmtId="3" xfId="0" applyAlignment="1" applyFont="1" applyNumberFormat="1">
      <alignment shrinkToFit="0" vertical="top" wrapText="1"/>
    </xf>
    <xf borderId="0" fillId="10" fontId="22" numFmtId="0" xfId="0" applyAlignment="1" applyFont="1">
      <alignment shrinkToFit="0" vertical="top" wrapText="1"/>
    </xf>
    <xf borderId="0" fillId="0" fontId="47" numFmtId="0" xfId="0" applyAlignment="1" applyFont="1">
      <alignment shrinkToFit="0" vertical="top" wrapText="1"/>
    </xf>
    <xf borderId="0" fillId="0" fontId="47" numFmtId="0" xfId="0" applyAlignment="1" applyFont="1">
      <alignment readingOrder="0" shrinkToFit="0" vertical="top" wrapText="1"/>
    </xf>
    <xf borderId="0" fillId="0" fontId="38" numFmtId="0" xfId="0" applyAlignment="1" applyFont="1">
      <alignment readingOrder="0" shrinkToFit="0" vertical="top" wrapText="1"/>
    </xf>
    <xf borderId="0" fillId="0" fontId="21" numFmtId="171" xfId="0" applyAlignment="1" applyFont="1" applyNumberFormat="1">
      <alignment horizontal="left" readingOrder="0" shrinkToFit="0" vertical="top" wrapText="1"/>
    </xf>
    <xf borderId="0" fillId="0" fontId="21" numFmtId="4" xfId="0" applyAlignment="1" applyFont="1" applyNumberFormat="1">
      <alignment horizontal="left" readingOrder="0" shrinkToFit="0" vertical="top" wrapText="1"/>
    </xf>
    <xf borderId="0" fillId="0" fontId="21" numFmtId="172" xfId="0" applyAlignment="1" applyFont="1" applyNumberFormat="1">
      <alignment horizontal="left" readingOrder="0" shrinkToFit="0" vertical="top" wrapText="1"/>
    </xf>
    <xf borderId="0" fillId="0" fontId="38" numFmtId="4" xfId="0" applyAlignment="1" applyFont="1" applyNumberFormat="1">
      <alignment horizontal="right" shrinkToFit="0" vertical="top" wrapText="1"/>
    </xf>
    <xf borderId="0" fillId="0" fontId="38" numFmtId="10" xfId="0" applyAlignment="1" applyFont="1" applyNumberFormat="1">
      <alignment shrinkToFit="0" vertical="top" wrapText="1"/>
    </xf>
    <xf borderId="0" fillId="0" fontId="44" numFmtId="3" xfId="0" applyAlignment="1" applyFont="1" applyNumberFormat="1">
      <alignment shrinkToFit="0" vertical="top" wrapText="1"/>
    </xf>
    <xf borderId="0" fillId="0" fontId="21" numFmtId="0" xfId="0" applyAlignment="1" applyFont="1">
      <alignment horizontal="right" shrinkToFit="0" vertical="top" wrapText="1"/>
    </xf>
    <xf borderId="0" fillId="11" fontId="21" numFmtId="3" xfId="0" applyAlignment="1" applyFont="1" applyNumberFormat="1">
      <alignment shrinkToFit="0" vertical="top" wrapText="1"/>
    </xf>
    <xf borderId="0" fillId="0" fontId="38" numFmtId="3" xfId="0" applyAlignment="1" applyFont="1" applyNumberFormat="1">
      <alignment shrinkToFit="0" vertical="top" wrapText="1"/>
    </xf>
    <xf borderId="0" fillId="10" fontId="21" numFmtId="3" xfId="0" applyAlignment="1" applyFont="1" applyNumberFormat="1">
      <alignment shrinkToFit="0" vertical="top" wrapText="1"/>
    </xf>
    <xf borderId="0" fillId="0" fontId="48" numFmtId="0" xfId="0" applyAlignment="1" applyFont="1">
      <alignment readingOrder="0" shrinkToFit="0" vertical="top" wrapText="1"/>
    </xf>
    <xf borderId="0" fillId="0" fontId="47" numFmtId="3" xfId="0" applyAlignment="1" applyFont="1" applyNumberFormat="1">
      <alignment shrinkToFit="0" vertical="top" wrapText="1"/>
    </xf>
    <xf borderId="0" fillId="0" fontId="21" numFmtId="4" xfId="0" applyAlignment="1" applyFont="1" applyNumberFormat="1">
      <alignment horizontal="left" shrinkToFit="0" vertical="top" wrapText="1"/>
    </xf>
    <xf borderId="0" fillId="0" fontId="21" numFmtId="0" xfId="0" applyAlignment="1" applyFont="1">
      <alignment horizontal="right" readingOrder="0" shrinkToFit="0" vertical="top" wrapText="1"/>
    </xf>
    <xf borderId="0" fillId="0" fontId="21" numFmtId="4" xfId="0" applyAlignment="1" applyFont="1" applyNumberFormat="1">
      <alignment shrinkToFit="0" vertical="top" wrapText="1"/>
    </xf>
    <xf borderId="0" fillId="0" fontId="13" numFmtId="0" xfId="0" applyAlignment="1" applyFont="1">
      <alignment horizontal="right" shrinkToFit="0" vertical="bottom" wrapText="1"/>
    </xf>
    <xf borderId="0" fillId="10" fontId="24" numFmtId="0" xfId="0" applyAlignment="1" applyFont="1">
      <alignment shrinkToFit="0" wrapText="1"/>
    </xf>
    <xf borderId="0" fillId="11" fontId="24" numFmtId="0" xfId="0" applyAlignment="1" applyFont="1">
      <alignment shrinkToFit="0" wrapText="1"/>
    </xf>
    <xf borderId="0" fillId="0" fontId="49" numFmtId="0" xfId="0" applyAlignment="1" applyFont="1">
      <alignment shrinkToFit="0" wrapText="1"/>
    </xf>
    <xf borderId="0" fillId="12" fontId="38" numFmtId="0" xfId="0" applyAlignment="1" applyFill="1" applyFont="1">
      <alignment shrinkToFit="0" vertical="top" wrapText="1"/>
    </xf>
    <xf borderId="0" fillId="12" fontId="21" numFmtId="0" xfId="0" applyAlignment="1" applyFont="1">
      <alignment shrinkToFit="0" vertical="top" wrapText="1"/>
    </xf>
    <xf borderId="0" fillId="12" fontId="21" numFmtId="0" xfId="0" applyAlignment="1" applyFont="1">
      <alignment horizontal="left" shrinkToFit="0" vertical="top" wrapText="1"/>
    </xf>
    <xf borderId="0" fillId="12" fontId="21" numFmtId="172" xfId="0" applyAlignment="1" applyFont="1" applyNumberFormat="1">
      <alignment horizontal="left" shrinkToFit="0" vertical="top" wrapText="1"/>
    </xf>
    <xf borderId="0" fillId="12" fontId="38" numFmtId="0" xfId="0" applyAlignment="1" applyFont="1">
      <alignment horizontal="right" shrinkToFit="0" vertical="top" wrapText="1"/>
    </xf>
    <xf borderId="0" fillId="12" fontId="44" numFmtId="3" xfId="0" applyAlignment="1" applyFont="1" applyNumberFormat="1">
      <alignment shrinkToFit="0" vertical="top" wrapText="1"/>
    </xf>
    <xf borderId="0" fillId="12" fontId="21" numFmtId="0" xfId="0" applyAlignment="1" applyFont="1">
      <alignment horizontal="right" shrinkToFit="0" vertical="top" wrapText="1"/>
    </xf>
    <xf borderId="0" fillId="12" fontId="22" numFmtId="3" xfId="0" applyAlignment="1" applyFont="1" applyNumberFormat="1">
      <alignment shrinkToFit="0" vertical="top" wrapText="1"/>
    </xf>
    <xf borderId="0" fillId="12" fontId="38" numFmtId="3" xfId="0" applyAlignment="1" applyFont="1" applyNumberFormat="1">
      <alignment shrinkToFit="0" vertical="top" wrapText="1"/>
    </xf>
    <xf borderId="0" fillId="12" fontId="21" numFmtId="3" xfId="0" applyAlignment="1" applyFont="1" applyNumberFormat="1">
      <alignment shrinkToFit="0" vertical="top" wrapText="1"/>
    </xf>
    <xf borderId="0" fillId="12" fontId="47" numFmtId="0" xfId="0" applyAlignment="1" applyFont="1">
      <alignment shrinkToFit="0" vertical="top" wrapText="1"/>
    </xf>
    <xf borderId="0" fillId="12" fontId="47" numFmtId="3" xfId="0" applyAlignment="1" applyFont="1" applyNumberFormat="1">
      <alignment shrinkToFit="0" vertical="top" wrapText="1"/>
    </xf>
    <xf borderId="0" fillId="0" fontId="38" numFmtId="172" xfId="0" applyAlignment="1" applyFont="1" applyNumberFormat="1">
      <alignment horizontal="right" shrinkToFit="0" vertical="top" wrapText="1"/>
    </xf>
    <xf borderId="0" fillId="0" fontId="38" numFmtId="0" xfId="0" applyAlignment="1" applyFont="1">
      <alignment horizontal="right" readingOrder="0" shrinkToFit="0" vertical="top" wrapText="1"/>
    </xf>
    <xf borderId="0" fillId="0" fontId="21" numFmtId="170" xfId="0" applyAlignment="1" applyFont="1" applyNumberFormat="1">
      <alignment readingOrder="0" shrinkToFit="0" vertical="top" wrapText="1"/>
    </xf>
    <xf borderId="0" fillId="0" fontId="21" numFmtId="175" xfId="0" applyAlignment="1" applyFont="1" applyNumberFormat="1">
      <alignment shrinkToFit="0" vertical="top" wrapText="1"/>
    </xf>
    <xf borderId="0" fillId="0" fontId="21" numFmtId="0" xfId="0" applyAlignment="1" applyFont="1">
      <alignment shrinkToFit="0" vertical="top" wrapText="1"/>
    </xf>
    <xf borderId="0" fillId="0" fontId="38" numFmtId="0" xfId="0" applyAlignment="1" applyFont="1">
      <alignment horizontal="right" shrinkToFit="0" vertical="top" wrapText="1"/>
    </xf>
    <xf borderId="0" fillId="0" fontId="21" numFmtId="172" xfId="0" applyAlignment="1" applyFont="1" applyNumberFormat="1">
      <alignment horizontal="left" shrinkToFit="0" vertical="top" wrapText="1"/>
    </xf>
    <xf borderId="0" fillId="0" fontId="38" numFmtId="0" xfId="0" applyAlignment="1" applyFont="1">
      <alignment horizontal="right" shrinkToFit="0" vertical="bottom" wrapText="1"/>
    </xf>
    <xf borderId="0" fillId="10" fontId="21" numFmtId="0" xfId="0" applyAlignment="1" applyFont="1">
      <alignment shrinkToFit="0" wrapText="1"/>
    </xf>
    <xf borderId="0" fillId="13" fontId="38" numFmtId="0" xfId="0" applyAlignment="1" applyFill="1" applyFont="1">
      <alignment shrinkToFit="0" vertical="top" wrapText="1"/>
    </xf>
    <xf borderId="0" fillId="13" fontId="21" numFmtId="0" xfId="0" applyAlignment="1" applyFont="1">
      <alignment shrinkToFit="0" vertical="top" wrapText="1"/>
    </xf>
    <xf borderId="0" fillId="13" fontId="21" numFmtId="0" xfId="0" applyAlignment="1" applyFont="1">
      <alignment horizontal="left" shrinkToFit="0" vertical="top" wrapText="1"/>
    </xf>
    <xf borderId="0" fillId="13" fontId="21" numFmtId="4" xfId="0" applyAlignment="1" applyFont="1" applyNumberFormat="1">
      <alignment horizontal="left" shrinkToFit="0" vertical="top" wrapText="1"/>
    </xf>
    <xf borderId="0" fillId="13" fontId="38" numFmtId="172" xfId="0" applyAlignment="1" applyFont="1" applyNumberFormat="1">
      <alignment horizontal="right" shrinkToFit="0" vertical="top" wrapText="1"/>
    </xf>
    <xf borderId="0" fillId="13" fontId="44" numFmtId="0" xfId="0" applyAlignment="1" applyFont="1">
      <alignment shrinkToFit="0" vertical="top" wrapText="1"/>
    </xf>
    <xf borderId="0" fillId="13" fontId="21" numFmtId="0" xfId="0" applyAlignment="1" applyFont="1">
      <alignment horizontal="right" shrinkToFit="0" vertical="top" wrapText="1"/>
    </xf>
    <xf borderId="0" fillId="13" fontId="22" numFmtId="3" xfId="0" applyAlignment="1" applyFont="1" applyNumberFormat="1">
      <alignment shrinkToFit="0" vertical="top" wrapText="1"/>
    </xf>
    <xf borderId="0" fillId="13" fontId="47" numFmtId="0" xfId="0" applyAlignment="1" applyFont="1">
      <alignment shrinkToFit="0" vertical="top" wrapText="1"/>
    </xf>
    <xf borderId="0" fillId="0" fontId="44" numFmtId="0" xfId="0" applyAlignment="1" applyFont="1">
      <alignment shrinkToFit="0" vertical="top" wrapText="1"/>
    </xf>
  </cellXfs>
  <cellStyles count="1">
    <cellStyle xfId="0" name="Normal" builtinId="0"/>
  </cellStyles>
  <dxfs count="1">
    <dxf>
      <font>
        <color rgb="FFCCCCCC"/>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40" Type="http://schemas.openxmlformats.org/officeDocument/2006/relationships/hyperlink" Target="http://www.rollingstone.com/music/news/the-new-economics-of-the-music-industry-20111025?page=2" TargetMode="External"/><Relationship Id="rId42" Type="http://schemas.openxmlformats.org/officeDocument/2006/relationships/hyperlink" Target="http://www.rollingstone.com/music/news/the-new-economics-of-the-music-industry-20111025?page=2" TargetMode="External"/><Relationship Id="rId41" Type="http://schemas.openxmlformats.org/officeDocument/2006/relationships/hyperlink" Target="http://musicmanager.last.fm/help/faq?category=Artist+Royalty+Program" TargetMode="External"/><Relationship Id="rId44" Type="http://schemas.openxmlformats.org/officeDocument/2006/relationships/hyperlink" Target="http://www.investinganswers.com/personal-finance/rich-famous/who-really-profits-your-itunes-downloads-3818" TargetMode="External"/><Relationship Id="rId43" Type="http://schemas.openxmlformats.org/officeDocument/2006/relationships/hyperlink" Target="https://www.google.co.uk/search?q=%243+a+month+last+fm&amp;oq=%243+a+month+last+fm&amp;aqs=chrome.0.69i57j69i65j0l3j69i60.2761j0&amp;sourceid=chrome&amp;ie=UTF-8" TargetMode="External"/><Relationship Id="rId46" Type="http://schemas.openxmlformats.org/officeDocument/2006/relationships/hyperlink" Target="http://leviweaver.com/2013/02/06/what-does-an-indie-get-paid-3-streaming/" TargetMode="External"/><Relationship Id="rId45" Type="http://schemas.openxmlformats.org/officeDocument/2006/relationships/hyperlink" Target="http://www.hypebot.com/hypebot/2011/10/just-how-much-does-rhapsody-pay-artists-.html" TargetMode="External"/><Relationship Id="rId1" Type="http://schemas.openxmlformats.org/officeDocument/2006/relationships/hyperlink" Target="http://members.cdbaby.com/cd-baby-cost.aspx" TargetMode="External"/><Relationship Id="rId2" Type="http://schemas.openxmlformats.org/officeDocument/2006/relationships/hyperlink" Target="http://www.investinganswers.com/personal-finance/rich-famous/who-really-profits-your-itunes-downloads-3818" TargetMode="External"/><Relationship Id="rId3" Type="http://schemas.openxmlformats.org/officeDocument/2006/relationships/hyperlink" Target="http://www.investinganswers.com/personal-finance/rich-famous/who-really-profits-your-itunes-downloads-3818" TargetMode="External"/><Relationship Id="rId4" Type="http://schemas.openxmlformats.org/officeDocument/2006/relationships/hyperlink" Target="http://music-download-review.toptenreviews.com/" TargetMode="External"/><Relationship Id="rId9" Type="http://schemas.openxmlformats.org/officeDocument/2006/relationships/hyperlink" Target="http://www.refinery29.com/music-online" TargetMode="External"/><Relationship Id="rId48" Type="http://schemas.openxmlformats.org/officeDocument/2006/relationships/hyperlink" Target="http://leviweaver.com/2013/02/06/what-does-an-indie-get-paid-3-streaming/" TargetMode="External"/><Relationship Id="rId47" Type="http://schemas.openxmlformats.org/officeDocument/2006/relationships/hyperlink" Target="http://www.rhapsody.com/what-is-rhapsody/get.html" TargetMode="External"/><Relationship Id="rId49" Type="http://schemas.openxmlformats.org/officeDocument/2006/relationships/hyperlink" Target="http://www.rhapsody.com/what-is-rhapsody/get.html" TargetMode="External"/><Relationship Id="rId5" Type="http://schemas.openxmlformats.org/officeDocument/2006/relationships/hyperlink" Target="http://www.digitalmusicnews.com/stories/091311artistmakes" TargetMode="External"/><Relationship Id="rId6" Type="http://schemas.openxmlformats.org/officeDocument/2006/relationships/hyperlink" Target="http://www.quora.com/iTunes/How-much-does-an-independent-artist-make-on-a-0-99-iTunes-track-sale" TargetMode="External"/><Relationship Id="rId7" Type="http://schemas.openxmlformats.org/officeDocument/2006/relationships/hyperlink" Target="http://www.rollingstone.com/music/news/the-new-economics-of-the-music-industry-20111025?page=2" TargetMode="External"/><Relationship Id="rId8" Type="http://schemas.openxmlformats.org/officeDocument/2006/relationships/hyperlink" Target="http://www.digitaltrends.com/music/how-much-are-next-gen-music-services-really-paying-artists/" TargetMode="External"/><Relationship Id="rId31" Type="http://schemas.openxmlformats.org/officeDocument/2006/relationships/hyperlink" Target="http://members.cdbaby.com/retail.aspx" TargetMode="External"/><Relationship Id="rId30" Type="http://schemas.openxmlformats.org/officeDocument/2006/relationships/hyperlink" Target="http://www.reverbnation.com/c/artist/distro_faq" TargetMode="External"/><Relationship Id="rId33" Type="http://schemas.openxmlformats.org/officeDocument/2006/relationships/hyperlink" Target="http://www.tunecore.com/index/pricing" TargetMode="External"/><Relationship Id="rId32" Type="http://schemas.openxmlformats.org/officeDocument/2006/relationships/hyperlink" Target="http://www.cdbaby.com/top" TargetMode="External"/><Relationship Id="rId35" Type="http://schemas.openxmlformats.org/officeDocument/2006/relationships/hyperlink" Target="http://evolver.fm/2013/06/27/report-apple-itunes-radio-offers-higher-royalties-than-pandora/" TargetMode="External"/><Relationship Id="rId34" Type="http://schemas.openxmlformats.org/officeDocument/2006/relationships/hyperlink" Target="http://www.digitaltrends.com/music/how-much-are-next-gen-music-services-really-paying-artists/" TargetMode="External"/><Relationship Id="rId37" Type="http://schemas.openxmlformats.org/officeDocument/2006/relationships/hyperlink" Target="http://www.digitaltrends.com/music/how-do-music-royalties-work-and-why-does-everyone-complain/" TargetMode="External"/><Relationship Id="rId36" Type="http://schemas.openxmlformats.org/officeDocument/2006/relationships/hyperlink" Target="http://www.theverge.com/2013/6/25/4460804/pandora-and-musicians-meet-to-discuss-royalty-settlement" TargetMode="External"/><Relationship Id="rId39" Type="http://schemas.openxmlformats.org/officeDocument/2006/relationships/hyperlink" Target="http://www.siriusxm.com/usmusicroyalty" TargetMode="External"/><Relationship Id="rId38" Type="http://schemas.openxmlformats.org/officeDocument/2006/relationships/hyperlink" Target="http://www.refinery29.com/music-online" TargetMode="External"/><Relationship Id="rId20" Type="http://schemas.openxmlformats.org/officeDocument/2006/relationships/hyperlink" Target="http://members.cdbaby.com/cd-baby-cost.aspx" TargetMode="External"/><Relationship Id="rId22" Type="http://schemas.openxmlformats.org/officeDocument/2006/relationships/hyperlink" Target="http://www.quora.com/iTunes/How-much-does-an-independent-artist-make-on-a-0-99-iTunes-track-sale" TargetMode="External"/><Relationship Id="rId21" Type="http://schemas.openxmlformats.org/officeDocument/2006/relationships/hyperlink" Target="http://www.digitalmusicnews.com/stories/091311artistmakes" TargetMode="External"/><Relationship Id="rId24" Type="http://schemas.openxmlformats.org/officeDocument/2006/relationships/hyperlink" Target="http://www.tunecore.com/index/pricing" TargetMode="External"/><Relationship Id="rId23" Type="http://schemas.openxmlformats.org/officeDocument/2006/relationships/hyperlink" Target="http://blog.tunecore.com/2013/02/music-download-streaming-royalties-are-you-getting-your-fair-share.html" TargetMode="External"/><Relationship Id="rId26" Type="http://schemas.openxmlformats.org/officeDocument/2006/relationships/hyperlink" Target="http://music-download-review.toptenreviews.com/itunes-review.html" TargetMode="External"/><Relationship Id="rId25" Type="http://schemas.openxmlformats.org/officeDocument/2006/relationships/hyperlink" Target="http://www.reverbnation.com/c/artist/distro_faq" TargetMode="External"/><Relationship Id="rId28" Type="http://schemas.openxmlformats.org/officeDocument/2006/relationships/hyperlink" Target="http://www.quora.com/iTunes/How-much-does-an-independent-artist-make-on-a-0-99-iTunes-track-sale" TargetMode="External"/><Relationship Id="rId27" Type="http://schemas.openxmlformats.org/officeDocument/2006/relationships/hyperlink" Target="http://www.digitalmusicnews.com/stories/091311artistmakes" TargetMode="External"/><Relationship Id="rId29" Type="http://schemas.openxmlformats.org/officeDocument/2006/relationships/hyperlink" Target="http://www.rollingstone.com/music/news/the-new-economics-of-the-music-industry-20111025?page=2" TargetMode="External"/><Relationship Id="rId51" Type="http://schemas.openxmlformats.org/officeDocument/2006/relationships/hyperlink" Target="http://trustmeimascientist.com/2011/09/05/how-much-does-spotify-pay/" TargetMode="External"/><Relationship Id="rId50" Type="http://schemas.openxmlformats.org/officeDocument/2006/relationships/hyperlink" Target="http://www.rollingstone.com/music/news/the-new-economics-of-the-music-industry-20111025?page=2" TargetMode="External"/><Relationship Id="rId53" Type="http://schemas.openxmlformats.org/officeDocument/2006/relationships/hyperlink" Target="http://thecynicalmusician.com/category/cat-blog/music_business/" TargetMode="External"/><Relationship Id="rId52" Type="http://schemas.openxmlformats.org/officeDocument/2006/relationships/hyperlink" Target="http://trustmeimascientist.com/2012/08/06/how-to-fix-spotify/" TargetMode="External"/><Relationship Id="rId11" Type="http://schemas.openxmlformats.org/officeDocument/2006/relationships/hyperlink" Target="http://www.rollingstone.com/music/news/the-new-economics-of-the-music-industry-20111025?page=2" TargetMode="External"/><Relationship Id="rId55" Type="http://schemas.openxmlformats.org/officeDocument/2006/relationships/hyperlink" Target="http://readwrite.com/2013/03/13/spotify-six-million-paid-subscribers-growth-quick-enough" TargetMode="External"/><Relationship Id="rId10" Type="http://schemas.openxmlformats.org/officeDocument/2006/relationships/hyperlink" Target="https://support.google.com/googleplay/artists/answer/1704471?hl=en-GB" TargetMode="External"/><Relationship Id="rId54" Type="http://schemas.openxmlformats.org/officeDocument/2006/relationships/hyperlink" Target="http://www.nytimes.com/2013/01/29/business/media/streaming-shakes-up-music-industrys-model-for-royalties.html?pagewanted=all&amp;_r=0" TargetMode="External"/><Relationship Id="rId13" Type="http://schemas.openxmlformats.org/officeDocument/2006/relationships/hyperlink" Target="http://www.rollingstone.com/music/news/the-new-economics-of-the-music-industry-20111025?page=2" TargetMode="External"/><Relationship Id="rId57" Type="http://schemas.openxmlformats.org/officeDocument/2006/relationships/hyperlink" Target="http://www.businessweek.com/articles/2013-04-22/its-getting-harder-to-make-money-on-youtube" TargetMode="External"/><Relationship Id="rId12" Type="http://schemas.openxmlformats.org/officeDocument/2006/relationships/hyperlink" Target="http://help.tunecore.com/app/answers/detail/a_id/50/~/xbox-music%3A-description,-go-live-time,-territories,-how-they-sell-your-music," TargetMode="External"/><Relationship Id="rId56" Type="http://schemas.openxmlformats.org/officeDocument/2006/relationships/hyperlink" Target="http://futureofmusic.org/blog/2013/06/18/new-service-collecting-royalties-youtube" TargetMode="External"/><Relationship Id="rId15" Type="http://schemas.openxmlformats.org/officeDocument/2006/relationships/hyperlink" Target="http://music-download-review.toptenreviews.com/" TargetMode="External"/><Relationship Id="rId14" Type="http://schemas.openxmlformats.org/officeDocument/2006/relationships/hyperlink" Target="http://www.tunecore.com/index/pricing" TargetMode="External"/><Relationship Id="rId58" Type="http://schemas.openxmlformats.org/officeDocument/2006/relationships/drawing" Target="../drawings/drawing1.xml"/><Relationship Id="rId17" Type="http://schemas.openxmlformats.org/officeDocument/2006/relationships/hyperlink" Target="http://www.quora.com/iTunes/How-much-does-an-independent-artist-make-on-a-0-99-iTunes-track-sale" TargetMode="External"/><Relationship Id="rId16" Type="http://schemas.openxmlformats.org/officeDocument/2006/relationships/hyperlink" Target="http://www.digitalmusicnews.com/stories/091311artistmakes" TargetMode="External"/><Relationship Id="rId19" Type="http://schemas.openxmlformats.org/officeDocument/2006/relationships/hyperlink" Target="http://blog.tunecore.com/2013/02/music-download-streaming-royalties-are-you-getting-your-fair-share.html" TargetMode="External"/><Relationship Id="rId18" Type="http://schemas.openxmlformats.org/officeDocument/2006/relationships/hyperlink" Target="http://www.rollingstone.com/music/news/the-new-economics-of-the-music-industry-20111025?page=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thecynicalmusician.com/2010/01/the-paradise-that-should-have-been/" TargetMode="External"/><Relationship Id="rId2" Type="http://schemas.openxmlformats.org/officeDocument/2006/relationships/hyperlink" Target="http://members.cdbaby.com/WhatWeDo/Pricing.aspx" TargetMode="External"/><Relationship Id="rId3" Type="http://schemas.openxmlformats.org/officeDocument/2006/relationships/hyperlink" Target="https://www.basca.org.uk/news/basca-briefing-april-2010" TargetMode="External"/><Relationship Id="rId4" Type="http://schemas.openxmlformats.org/officeDocument/2006/relationships/hyperlink" Target="http://thecynicalmusician.com/2010/01/the-paradise-that-should-have-been/" TargetMode="External"/><Relationship Id="rId9" Type="http://schemas.openxmlformats.org/officeDocument/2006/relationships/hyperlink" Target="https://www.basca.org.uk/news/basca-briefing-april-2010" TargetMode="External"/><Relationship Id="rId5" Type="http://schemas.openxmlformats.org/officeDocument/2006/relationships/hyperlink" Target="http://members.cdbaby.com/WhatWeDo/Pricing.aspx" TargetMode="External"/><Relationship Id="rId6" Type="http://schemas.openxmlformats.org/officeDocument/2006/relationships/hyperlink" Target="http://members.cdbaby.com/WhatWeDo/Pricing.aspx" TargetMode="External"/><Relationship Id="rId7" Type="http://schemas.openxmlformats.org/officeDocument/2006/relationships/hyperlink" Target="https://www.basca.org.uk/news/basca-briefing-april-2010" TargetMode="External"/><Relationship Id="rId8" Type="http://schemas.openxmlformats.org/officeDocument/2006/relationships/hyperlink" Target="https://www.basca.org.uk/news/basca-briefing-april-2010" TargetMode="External"/><Relationship Id="rId11" Type="http://schemas.openxmlformats.org/officeDocument/2006/relationships/hyperlink" Target="http://thecynicalmusician.com/2010/01/the-paradise-that-should-have-been/" TargetMode="External"/><Relationship Id="rId10" Type="http://schemas.openxmlformats.org/officeDocument/2006/relationships/hyperlink" Target="http://thecynicalmusician.com/2010/01/the-paradise-that-should-have-been/" TargetMode="External"/><Relationship Id="rId13" Type="http://schemas.openxmlformats.org/officeDocument/2006/relationships/hyperlink" Target="http://digitalaudioinsider.blogspot.com/2009/08/lastfm-royalties-for-q2-2009.html" TargetMode="External"/><Relationship Id="rId12" Type="http://schemas.openxmlformats.org/officeDocument/2006/relationships/hyperlink" Target="http://digitalaudioinsider.blogspot.com/2009/08/lastfm-royalties-for-q2-2009.html"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thecynicalmusician.com/2010/01/the-paradise-that-should-have-been/" TargetMode="External"/><Relationship Id="rId2" Type="http://schemas.openxmlformats.org/officeDocument/2006/relationships/hyperlink" Target="http://members.cdbaby.com/WhatWeDo/Pricing.aspx" TargetMode="External"/><Relationship Id="rId3" Type="http://schemas.openxmlformats.org/officeDocument/2006/relationships/hyperlink" Target="http://thecynicalmusician.com/2010/01/the-paradise-that-should-have-been/" TargetMode="External"/><Relationship Id="rId4" Type="http://schemas.openxmlformats.org/officeDocument/2006/relationships/hyperlink" Target="https://www.basca.org.uk/news/basca-briefing-april-2010" TargetMode="External"/><Relationship Id="rId9" Type="http://schemas.openxmlformats.org/officeDocument/2006/relationships/hyperlink" Target="https://www.basca.org.uk/news/basca-briefing-april-2010" TargetMode="External"/><Relationship Id="rId5" Type="http://schemas.openxmlformats.org/officeDocument/2006/relationships/hyperlink" Target="http://members.cdbaby.com/WhatWeDo/Pricing.aspx" TargetMode="External"/><Relationship Id="rId6" Type="http://schemas.openxmlformats.org/officeDocument/2006/relationships/hyperlink" Target="http://members.cdbaby.com/WhatWeDo/Pricing.aspx" TargetMode="External"/><Relationship Id="rId7" Type="http://schemas.openxmlformats.org/officeDocument/2006/relationships/hyperlink" Target="https://www.basca.org.uk/news/basca-briefing-april-2010" TargetMode="External"/><Relationship Id="rId8" Type="http://schemas.openxmlformats.org/officeDocument/2006/relationships/hyperlink" Target="https://www.basca.org.uk/news/basca-briefing-april-2010" TargetMode="External"/><Relationship Id="rId11" Type="http://schemas.openxmlformats.org/officeDocument/2006/relationships/hyperlink" Target="http://thecynicalmusician.com/2010/01/the-paradise-that-should-have-been/" TargetMode="External"/><Relationship Id="rId10" Type="http://schemas.openxmlformats.org/officeDocument/2006/relationships/hyperlink" Target="http://thecynicalmusician.com/2010/01/the-paradise-that-should-have-been/" TargetMode="External"/><Relationship Id="rId13" Type="http://schemas.openxmlformats.org/officeDocument/2006/relationships/hyperlink" Target="http://digitalaudioinsider.blogspot.com/2009/08/lastfm-royalties-for-q2-2009.html" TargetMode="External"/><Relationship Id="rId12" Type="http://schemas.openxmlformats.org/officeDocument/2006/relationships/hyperlink" Target="http://digitalaudioinsider.blogspot.com/2009/08/lastfm-royalties-for-q2-2009.html" TargetMode="External"/><Relationship Id="rId1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2.75"/>
  <cols>
    <col customWidth="1" min="1" max="1" width="20.75"/>
    <col customWidth="1" min="2" max="2" width="12.25"/>
    <col customWidth="1" min="3" max="3" width="14.63"/>
    <col customWidth="1" min="4" max="4" width="11.25"/>
    <col customWidth="1" min="5" max="5" width="1.13"/>
    <col customWidth="1" min="6" max="6" width="11.5"/>
    <col customWidth="1" min="7" max="7" width="10.5"/>
    <col customWidth="1" min="8" max="8" width="10.75"/>
    <col customWidth="1" min="9" max="9" width="3.0"/>
    <col customWidth="1" min="10" max="10" width="8.88"/>
    <col customWidth="1" min="11" max="11" width="8.63"/>
    <col customWidth="1" min="12" max="12" width="9.88"/>
    <col customWidth="1" min="13" max="13" width="2.5"/>
    <col customWidth="1" min="14" max="14" width="18.25"/>
    <col customWidth="1" min="15" max="15" width="2.88"/>
    <col customWidth="1" min="16" max="16" width="11.13"/>
    <col customWidth="1" min="17" max="17" width="9.75"/>
    <col customWidth="1" min="18" max="18" width="11.63"/>
    <col customWidth="1" min="19" max="19" width="9.75"/>
    <col customWidth="1" min="20" max="20" width="10.0"/>
    <col customWidth="1" min="21" max="21" width="1.5"/>
    <col customWidth="1" min="22" max="22" width="15.13"/>
    <col customWidth="1" min="23" max="23" width="18.25"/>
    <col customWidth="1" min="24" max="24" width="1.88"/>
    <col customWidth="1" min="25" max="27" width="10.25"/>
    <col customWidth="1" min="28" max="28" width="1.25"/>
    <col customWidth="1" min="30" max="30" width="0.38"/>
    <col customWidth="1" min="31" max="31" width="11.75"/>
    <col customWidth="1" min="32" max="32" width="0.88"/>
    <col customWidth="1" min="33" max="33" width="12.13"/>
    <col customWidth="1" min="34" max="34" width="1.13"/>
    <col customWidth="1" min="35" max="38" width="14.25"/>
    <col customWidth="1" min="39" max="39" width="1.38"/>
    <col customWidth="1" min="40" max="43" width="9.0"/>
    <col customWidth="1" min="44" max="44" width="1.75"/>
    <col customWidth="1" min="45" max="45" width="64.38"/>
    <col customWidth="1" min="51" max="51" width="15.13"/>
  </cols>
  <sheetData>
    <row r="1">
      <c r="A1" s="1" t="s">
        <v>0</v>
      </c>
      <c r="B1" s="2" t="s">
        <v>1</v>
      </c>
      <c r="C1" s="3" t="s">
        <v>2</v>
      </c>
      <c r="D1" s="4" t="s">
        <v>3</v>
      </c>
      <c r="E1" s="5"/>
      <c r="F1" s="6" t="s">
        <v>4</v>
      </c>
      <c r="G1" s="6" t="s">
        <v>5</v>
      </c>
      <c r="H1" s="7" t="s">
        <v>6</v>
      </c>
      <c r="I1" s="8"/>
      <c r="J1" s="9" t="s">
        <v>7</v>
      </c>
      <c r="K1" s="6" t="s">
        <v>8</v>
      </c>
      <c r="L1" s="9" t="s">
        <v>9</v>
      </c>
      <c r="M1" s="10"/>
      <c r="N1" s="4" t="s">
        <v>10</v>
      </c>
      <c r="O1" s="11"/>
      <c r="P1" s="6" t="s">
        <v>11</v>
      </c>
      <c r="Q1" s="12"/>
      <c r="R1" s="6" t="s">
        <v>12</v>
      </c>
      <c r="S1" s="13"/>
      <c r="T1" s="14" t="s">
        <v>13</v>
      </c>
      <c r="U1" s="5"/>
      <c r="V1" s="15" t="s">
        <v>14</v>
      </c>
      <c r="W1" s="1" t="s">
        <v>15</v>
      </c>
      <c r="X1" s="5"/>
      <c r="Y1" s="16" t="s">
        <v>16</v>
      </c>
      <c r="Z1" s="16" t="s">
        <v>17</v>
      </c>
      <c r="AA1" s="16" t="s">
        <v>16</v>
      </c>
      <c r="AB1" s="17"/>
      <c r="AC1" s="16" t="s">
        <v>18</v>
      </c>
      <c r="AD1" s="10"/>
      <c r="AE1" s="16" t="s">
        <v>19</v>
      </c>
      <c r="AF1" s="18"/>
      <c r="AG1" s="16" t="s">
        <v>20</v>
      </c>
      <c r="AH1" s="19"/>
      <c r="AI1" s="6" t="s">
        <v>21</v>
      </c>
      <c r="AJ1" s="12"/>
      <c r="AK1" s="12"/>
      <c r="AL1" s="12"/>
      <c r="AM1" s="20"/>
      <c r="AN1" s="10"/>
      <c r="AO1" s="10"/>
      <c r="AP1" s="10"/>
      <c r="AQ1" s="10"/>
      <c r="AR1" s="21"/>
      <c r="AS1" s="22"/>
      <c r="AT1" s="22"/>
      <c r="AU1" s="22"/>
      <c r="AV1" s="22"/>
      <c r="AW1" s="23"/>
      <c r="AX1" s="10"/>
      <c r="AY1" s="10"/>
    </row>
    <row r="2">
      <c r="A2" s="24" t="s">
        <v>22</v>
      </c>
      <c r="B2" s="25"/>
      <c r="C2" s="26"/>
      <c r="D2" s="27"/>
      <c r="E2" s="28"/>
      <c r="F2" s="29" t="s">
        <v>23</v>
      </c>
      <c r="G2" s="30"/>
      <c r="H2" s="30"/>
      <c r="I2" s="30"/>
      <c r="J2" s="31"/>
      <c r="K2" s="31"/>
      <c r="L2" s="31"/>
      <c r="M2" s="32"/>
      <c r="N2" s="33" t="s">
        <v>24</v>
      </c>
      <c r="O2" s="34"/>
      <c r="P2" s="35" t="s">
        <v>25</v>
      </c>
      <c r="Q2" s="36" t="s">
        <v>26</v>
      </c>
      <c r="R2" s="35" t="s">
        <v>27</v>
      </c>
      <c r="S2" s="36" t="s">
        <v>26</v>
      </c>
      <c r="T2" s="25"/>
      <c r="U2" s="37"/>
      <c r="V2" s="38"/>
      <c r="W2" s="36" t="s">
        <v>24</v>
      </c>
      <c r="X2" s="28"/>
      <c r="Y2" s="35" t="s">
        <v>28</v>
      </c>
      <c r="Z2" s="39" t="s">
        <v>29</v>
      </c>
      <c r="AA2" s="39" t="s">
        <v>30</v>
      </c>
      <c r="AB2" s="40"/>
      <c r="AC2" s="41" t="s">
        <v>31</v>
      </c>
      <c r="AD2" s="42"/>
      <c r="AE2" s="43" t="s">
        <v>32</v>
      </c>
      <c r="AF2" s="44"/>
      <c r="AG2" s="43" t="s">
        <v>33</v>
      </c>
      <c r="AH2" s="45"/>
      <c r="AI2" s="46" t="s">
        <v>34</v>
      </c>
      <c r="AJ2" s="36" t="s">
        <v>35</v>
      </c>
      <c r="AK2" s="36" t="s">
        <v>36</v>
      </c>
      <c r="AL2" s="36" t="s">
        <v>37</v>
      </c>
      <c r="AM2" s="45"/>
      <c r="AN2" s="47" t="s">
        <v>38</v>
      </c>
      <c r="AO2" s="47" t="s">
        <v>39</v>
      </c>
      <c r="AP2" s="47" t="s">
        <v>40</v>
      </c>
      <c r="AQ2" s="47" t="s">
        <v>41</v>
      </c>
      <c r="AR2" s="48"/>
      <c r="AS2" s="47" t="s">
        <v>42</v>
      </c>
      <c r="AT2" s="49" t="s">
        <v>43</v>
      </c>
      <c r="AU2" s="47" t="s">
        <v>44</v>
      </c>
      <c r="AV2" s="47" t="s">
        <v>45</v>
      </c>
      <c r="AW2" s="49" t="s">
        <v>46</v>
      </c>
      <c r="AX2" s="49" t="s">
        <v>47</v>
      </c>
      <c r="AY2" s="50"/>
    </row>
    <row r="3">
      <c r="A3" s="51"/>
      <c r="B3" s="52"/>
      <c r="C3" s="53"/>
      <c r="D3" s="54" t="s">
        <v>48</v>
      </c>
      <c r="E3" s="55"/>
      <c r="F3" s="56" t="s">
        <v>49</v>
      </c>
      <c r="G3" s="56" t="s">
        <v>49</v>
      </c>
      <c r="H3" s="7" t="s">
        <v>49</v>
      </c>
      <c r="I3" s="8"/>
      <c r="J3" s="9" t="s">
        <v>48</v>
      </c>
      <c r="K3" s="57" t="s">
        <v>48</v>
      </c>
      <c r="L3" s="9" t="s">
        <v>48</v>
      </c>
      <c r="M3" s="58"/>
      <c r="N3" s="59">
        <v>1260.0</v>
      </c>
      <c r="O3" s="60"/>
      <c r="P3" s="61"/>
      <c r="Q3" s="56" t="s">
        <v>48</v>
      </c>
      <c r="R3" s="61"/>
      <c r="S3" s="62" t="s">
        <v>48</v>
      </c>
      <c r="T3" s="63"/>
      <c r="U3" s="64"/>
      <c r="V3" s="65"/>
      <c r="W3" s="57">
        <v>1260.0</v>
      </c>
      <c r="X3" s="55"/>
      <c r="Y3" s="56" t="s">
        <v>50</v>
      </c>
      <c r="Z3" s="66" t="s">
        <v>51</v>
      </c>
      <c r="AA3" s="66" t="s">
        <v>51</v>
      </c>
      <c r="AB3" s="67"/>
      <c r="AC3" s="68" t="s">
        <v>52</v>
      </c>
      <c r="AD3" s="69"/>
      <c r="AE3" s="68" t="s">
        <v>52</v>
      </c>
      <c r="AF3" s="70"/>
      <c r="AG3" s="68" t="s">
        <v>52</v>
      </c>
      <c r="AH3" s="71"/>
      <c r="AI3" s="72"/>
      <c r="AJ3" s="57">
        <v>15121.4285714286</v>
      </c>
      <c r="AK3" s="56" t="s">
        <v>53</v>
      </c>
      <c r="AL3" s="56" t="s">
        <v>53</v>
      </c>
      <c r="AM3" s="73"/>
      <c r="AN3" s="74" t="s">
        <v>48</v>
      </c>
      <c r="AO3" s="74" t="s">
        <v>48</v>
      </c>
      <c r="AP3" s="75"/>
      <c r="AQ3" s="75"/>
      <c r="AR3" s="76"/>
      <c r="AS3" s="75"/>
      <c r="AT3" s="23"/>
      <c r="AU3" s="75"/>
      <c r="AV3" s="75"/>
      <c r="AW3" s="23"/>
      <c r="AX3" s="77"/>
      <c r="AY3" s="77"/>
    </row>
    <row r="4">
      <c r="A4" s="3" t="s">
        <v>54</v>
      </c>
      <c r="B4" s="78" t="s">
        <v>55</v>
      </c>
      <c r="C4" s="79" t="s">
        <v>56</v>
      </c>
      <c r="D4" s="54">
        <v>9.99</v>
      </c>
      <c r="E4" s="55"/>
      <c r="F4" s="56">
        <v>0.0</v>
      </c>
      <c r="G4" s="80">
        <f>Z4</f>
        <v>1</v>
      </c>
      <c r="H4" s="7">
        <v>0.0</v>
      </c>
      <c r="I4" s="8"/>
      <c r="J4" s="81">
        <v>0.0</v>
      </c>
      <c r="K4" s="57" t="s">
        <v>57</v>
      </c>
      <c r="L4" s="82">
        <f>D4</f>
        <v>9.99</v>
      </c>
      <c r="M4" s="12"/>
      <c r="N4" s="83">
        <f t="shared" ref="N4:N9" si="1">SUM($N$3/L4)</f>
        <v>126.1261261</v>
      </c>
      <c r="O4" s="60"/>
      <c r="P4" s="61"/>
      <c r="Q4" s="56" t="s">
        <v>58</v>
      </c>
      <c r="R4" s="61"/>
      <c r="S4" s="56" t="s">
        <v>58</v>
      </c>
      <c r="T4" s="63"/>
      <c r="U4" s="64"/>
      <c r="V4" s="84">
        <f t="shared" ref="V4:V28" si="2">SQRT(N4)</f>
        <v>11.23058886</v>
      </c>
      <c r="W4" s="85">
        <f t="shared" ref="W4:W5" si="3">N4</f>
        <v>126.1261261</v>
      </c>
      <c r="X4" s="64"/>
      <c r="Y4" s="56" t="s">
        <v>57</v>
      </c>
      <c r="Z4" s="66">
        <v>1.0</v>
      </c>
      <c r="AA4" s="66" t="s">
        <v>57</v>
      </c>
      <c r="AB4" s="67"/>
      <c r="AC4" s="56" t="s">
        <v>58</v>
      </c>
      <c r="AD4" s="61"/>
      <c r="AE4" s="56" t="s">
        <v>58</v>
      </c>
      <c r="AF4" s="70"/>
      <c r="AG4" s="86" t="s">
        <v>58</v>
      </c>
      <c r="AH4" s="87"/>
      <c r="AI4" s="72">
        <f t="shared" ref="AI4:AI27" si="4">100/L4</f>
        <v>10.01001001</v>
      </c>
      <c r="AJ4" s="72">
        <f t="shared" ref="AJ4:AJ27" si="5">$AJ$3/L4</f>
        <v>1513.656514</v>
      </c>
      <c r="AK4" s="72">
        <f t="shared" ref="AK4:AK27" si="6">N4*4</f>
        <v>504.5045045</v>
      </c>
      <c r="AL4" s="72">
        <f t="shared" ref="AL4:AL27" si="7">AK4*12</f>
        <v>6054.054054</v>
      </c>
      <c r="AM4" s="71"/>
      <c r="AN4" s="74" t="s">
        <v>57</v>
      </c>
      <c r="AO4" s="74" t="s">
        <v>57</v>
      </c>
      <c r="AP4" s="74" t="s">
        <v>57</v>
      </c>
      <c r="AQ4" s="74" t="s">
        <v>57</v>
      </c>
      <c r="AR4" s="76"/>
      <c r="AS4" s="75"/>
      <c r="AT4" s="23"/>
      <c r="AU4" s="75"/>
      <c r="AV4" s="88"/>
      <c r="AW4" s="23"/>
      <c r="AX4" s="89"/>
      <c r="AY4" s="89"/>
    </row>
    <row r="5">
      <c r="A5" s="3" t="s">
        <v>59</v>
      </c>
      <c r="B5" s="78" t="s">
        <v>55</v>
      </c>
      <c r="C5" s="79" t="s">
        <v>56</v>
      </c>
      <c r="D5" s="54">
        <v>9.99</v>
      </c>
      <c r="E5" s="55"/>
      <c r="F5" s="90">
        <f>K5/D5</f>
        <v>0.4004004004</v>
      </c>
      <c r="G5" s="61"/>
      <c r="H5" s="7" t="s">
        <v>57</v>
      </c>
      <c r="I5" s="8"/>
      <c r="J5" s="9" t="s">
        <v>57</v>
      </c>
      <c r="K5" s="57">
        <v>4.0</v>
      </c>
      <c r="L5" s="82">
        <f>60%*D5</f>
        <v>5.994</v>
      </c>
      <c r="M5" s="12"/>
      <c r="N5" s="83">
        <f t="shared" si="1"/>
        <v>210.2102102</v>
      </c>
      <c r="O5" s="60"/>
      <c r="P5" s="61"/>
      <c r="Q5" s="56" t="s">
        <v>58</v>
      </c>
      <c r="R5" s="61"/>
      <c r="S5" s="56" t="s">
        <v>58</v>
      </c>
      <c r="T5" s="63"/>
      <c r="U5" s="91"/>
      <c r="V5" s="84">
        <f t="shared" si="2"/>
        <v>14.49862787</v>
      </c>
      <c r="W5" s="85">
        <f t="shared" si="3"/>
        <v>210.2102102</v>
      </c>
      <c r="X5" s="64"/>
      <c r="Y5" s="56" t="s">
        <v>57</v>
      </c>
      <c r="Z5" s="66" t="s">
        <v>57</v>
      </c>
      <c r="AA5" s="66" t="s">
        <v>57</v>
      </c>
      <c r="AB5" s="67"/>
      <c r="AC5" s="56" t="s">
        <v>58</v>
      </c>
      <c r="AD5" s="61"/>
      <c r="AE5" s="56" t="s">
        <v>58</v>
      </c>
      <c r="AF5" s="70"/>
      <c r="AG5" s="86" t="s">
        <v>58</v>
      </c>
      <c r="AH5" s="87"/>
      <c r="AI5" s="72">
        <f t="shared" si="4"/>
        <v>16.68335002</v>
      </c>
      <c r="AJ5" s="72">
        <f t="shared" si="5"/>
        <v>2522.760856</v>
      </c>
      <c r="AK5" s="72">
        <f t="shared" si="6"/>
        <v>840.8408408</v>
      </c>
      <c r="AL5" s="72">
        <f t="shared" si="7"/>
        <v>10090.09009</v>
      </c>
      <c r="AM5" s="71"/>
      <c r="AN5" s="74" t="s">
        <v>57</v>
      </c>
      <c r="AO5" s="74" t="s">
        <v>57</v>
      </c>
      <c r="AP5" s="74" t="s">
        <v>57</v>
      </c>
      <c r="AQ5" s="74" t="s">
        <v>57</v>
      </c>
      <c r="AR5" s="76"/>
      <c r="AS5" s="74" t="s">
        <v>60</v>
      </c>
      <c r="AT5" s="92" t="s">
        <v>61</v>
      </c>
      <c r="AU5" s="75"/>
      <c r="AV5" s="88"/>
      <c r="AW5" s="23"/>
      <c r="AX5" s="89"/>
      <c r="AY5" s="89"/>
    </row>
    <row r="6">
      <c r="A6" s="1" t="s">
        <v>62</v>
      </c>
      <c r="B6" s="78" t="s">
        <v>63</v>
      </c>
      <c r="C6" s="79" t="s">
        <v>56</v>
      </c>
      <c r="D6" s="54">
        <v>9.99</v>
      </c>
      <c r="E6" s="64"/>
      <c r="F6" s="93" t="s">
        <v>57</v>
      </c>
      <c r="G6" s="61"/>
      <c r="H6" s="7" t="s">
        <v>57</v>
      </c>
      <c r="I6" s="8"/>
      <c r="J6" s="9" t="s">
        <v>57</v>
      </c>
      <c r="K6" s="57" t="s">
        <v>57</v>
      </c>
      <c r="L6" s="82">
        <f t="shared" ref="L6:L7" si="8">Z6*D6</f>
        <v>0.999</v>
      </c>
      <c r="M6" s="12"/>
      <c r="N6" s="83">
        <f t="shared" si="1"/>
        <v>1261.261261</v>
      </c>
      <c r="O6" s="60"/>
      <c r="P6" s="61"/>
      <c r="Q6" s="94">
        <f t="shared" ref="Q6:Q11" si="9">50%*AG6</f>
        <v>0.00455</v>
      </c>
      <c r="R6" s="61"/>
      <c r="S6" s="94">
        <f t="shared" ref="S6:S11" si="10">50%*AG6</f>
        <v>0.00455</v>
      </c>
      <c r="T6" s="63"/>
      <c r="U6" s="91"/>
      <c r="V6" s="84">
        <f t="shared" si="2"/>
        <v>35.51424026</v>
      </c>
      <c r="W6" s="85">
        <f t="shared" ref="W6:W11" si="11">$W$3/(S6+L6)</f>
        <v>1255.542823</v>
      </c>
      <c r="X6" s="55"/>
      <c r="Y6" s="56" t="s">
        <v>57</v>
      </c>
      <c r="Z6" s="66">
        <v>0.1</v>
      </c>
      <c r="AA6" s="95" t="s">
        <v>64</v>
      </c>
      <c r="AB6" s="67"/>
      <c r="AC6" s="56" t="s">
        <v>58</v>
      </c>
      <c r="AD6" s="61"/>
      <c r="AE6" s="56" t="s">
        <v>58</v>
      </c>
      <c r="AF6" s="70"/>
      <c r="AG6" s="86">
        <v>0.0091</v>
      </c>
      <c r="AH6" s="87"/>
      <c r="AI6" s="72">
        <f t="shared" si="4"/>
        <v>100.1001001</v>
      </c>
      <c r="AJ6" s="72">
        <f t="shared" si="5"/>
        <v>15136.56514</v>
      </c>
      <c r="AK6" s="72">
        <f t="shared" si="6"/>
        <v>5045.045045</v>
      </c>
      <c r="AL6" s="72">
        <f t="shared" si="7"/>
        <v>60540.54054</v>
      </c>
      <c r="AM6" s="71"/>
      <c r="AN6" s="74" t="s">
        <v>57</v>
      </c>
      <c r="AO6" s="74" t="s">
        <v>57</v>
      </c>
      <c r="AP6" s="74" t="s">
        <v>57</v>
      </c>
      <c r="AQ6" s="74" t="s">
        <v>57</v>
      </c>
      <c r="AR6" s="76"/>
      <c r="AS6" s="74" t="s">
        <v>65</v>
      </c>
      <c r="AT6" s="92" t="s">
        <v>66</v>
      </c>
      <c r="AU6" s="75"/>
      <c r="AV6" s="88"/>
      <c r="AW6" s="23"/>
      <c r="AX6" s="89"/>
      <c r="AY6" s="89"/>
    </row>
    <row r="7">
      <c r="A7" s="1" t="s">
        <v>67</v>
      </c>
      <c r="B7" s="78" t="s">
        <v>63</v>
      </c>
      <c r="C7" s="79" t="s">
        <v>56</v>
      </c>
      <c r="D7" s="54">
        <v>9.99</v>
      </c>
      <c r="E7" s="55"/>
      <c r="F7" s="56" t="s">
        <v>57</v>
      </c>
      <c r="G7" s="61"/>
      <c r="H7" s="7" t="s">
        <v>57</v>
      </c>
      <c r="I7" s="8"/>
      <c r="J7" s="9" t="s">
        <v>57</v>
      </c>
      <c r="K7" s="57" t="s">
        <v>57</v>
      </c>
      <c r="L7" s="82">
        <f t="shared" si="8"/>
        <v>0.2997</v>
      </c>
      <c r="M7" s="12"/>
      <c r="N7" s="83">
        <f t="shared" si="1"/>
        <v>4204.204204</v>
      </c>
      <c r="O7" s="60"/>
      <c r="P7" s="61"/>
      <c r="Q7" s="94">
        <f t="shared" si="9"/>
        <v>0.00455</v>
      </c>
      <c r="R7" s="61"/>
      <c r="S7" s="94">
        <f t="shared" si="10"/>
        <v>0.00455</v>
      </c>
      <c r="T7" s="63"/>
      <c r="U7" s="91"/>
      <c r="V7" s="84">
        <f t="shared" si="2"/>
        <v>64.83983501</v>
      </c>
      <c r="W7" s="85">
        <f t="shared" si="11"/>
        <v>4141.331142</v>
      </c>
      <c r="X7" s="55"/>
      <c r="Y7" s="56" t="s">
        <v>57</v>
      </c>
      <c r="Z7" s="66">
        <v>0.03</v>
      </c>
      <c r="AA7" s="95" t="s">
        <v>64</v>
      </c>
      <c r="AB7" s="67"/>
      <c r="AC7" s="56" t="s">
        <v>58</v>
      </c>
      <c r="AD7" s="61"/>
      <c r="AE7" s="56" t="s">
        <v>58</v>
      </c>
      <c r="AF7" s="70"/>
      <c r="AG7" s="86">
        <v>0.0091</v>
      </c>
      <c r="AH7" s="87"/>
      <c r="AI7" s="72">
        <f t="shared" si="4"/>
        <v>333.6670003</v>
      </c>
      <c r="AJ7" s="72">
        <f t="shared" si="5"/>
        <v>50455.21712</v>
      </c>
      <c r="AK7" s="72">
        <f t="shared" si="6"/>
        <v>16816.81682</v>
      </c>
      <c r="AL7" s="72">
        <f t="shared" si="7"/>
        <v>201801.8018</v>
      </c>
      <c r="AM7" s="71"/>
      <c r="AN7" s="74" t="s">
        <v>57</v>
      </c>
      <c r="AO7" s="74" t="s">
        <v>57</v>
      </c>
      <c r="AP7" s="74" t="s">
        <v>57</v>
      </c>
      <c r="AQ7" s="74" t="s">
        <v>57</v>
      </c>
      <c r="AR7" s="76"/>
      <c r="AS7" s="74" t="s">
        <v>68</v>
      </c>
      <c r="AT7" s="92" t="s">
        <v>66</v>
      </c>
      <c r="AU7" s="75"/>
      <c r="AV7" s="88"/>
      <c r="AW7" s="23"/>
      <c r="AX7" s="89"/>
      <c r="AY7" s="89"/>
    </row>
    <row r="8">
      <c r="A8" s="3" t="s">
        <v>69</v>
      </c>
      <c r="B8" s="78" t="s">
        <v>63</v>
      </c>
      <c r="C8" s="79" t="s">
        <v>70</v>
      </c>
      <c r="D8" s="54">
        <v>0.89</v>
      </c>
      <c r="E8" s="55"/>
      <c r="F8" s="96">
        <v>0.3</v>
      </c>
      <c r="G8" s="97">
        <f>Z8*Y8</f>
        <v>0.112</v>
      </c>
      <c r="H8" s="98">
        <f>Y8-G8</f>
        <v>0.588</v>
      </c>
      <c r="I8" s="8"/>
      <c r="J8" s="82">
        <f>H8*$D8</f>
        <v>0.52332</v>
      </c>
      <c r="K8" s="99">
        <f t="shared" ref="K8:L8" si="12">F8*$D8</f>
        <v>0.267</v>
      </c>
      <c r="L8" s="82">
        <f t="shared" si="12"/>
        <v>0.09968</v>
      </c>
      <c r="M8" s="12"/>
      <c r="N8" s="83">
        <f t="shared" si="1"/>
        <v>12640.44944</v>
      </c>
      <c r="O8" s="60"/>
      <c r="P8" s="100" t="s">
        <v>71</v>
      </c>
      <c r="Q8" s="101">
        <f t="shared" si="9"/>
        <v>0.00455</v>
      </c>
      <c r="R8" s="53"/>
      <c r="S8" s="101">
        <f t="shared" si="10"/>
        <v>0.00455</v>
      </c>
      <c r="T8" s="102">
        <f>SUM(F8+H8+G8)</f>
        <v>1</v>
      </c>
      <c r="U8" s="91"/>
      <c r="V8" s="84">
        <f t="shared" si="2"/>
        <v>112.4297533</v>
      </c>
      <c r="W8" s="103">
        <f t="shared" si="11"/>
        <v>12088.6501</v>
      </c>
      <c r="X8" s="55"/>
      <c r="Y8" s="97">
        <f>100%-F8</f>
        <v>0.7</v>
      </c>
      <c r="Z8" s="104">
        <v>0.16</v>
      </c>
      <c r="AA8" s="104" t="s">
        <v>57</v>
      </c>
      <c r="AB8" s="67"/>
      <c r="AC8" s="79" t="s">
        <v>58</v>
      </c>
      <c r="AD8" s="53"/>
      <c r="AE8" s="79" t="s">
        <v>58</v>
      </c>
      <c r="AF8" s="70"/>
      <c r="AG8" s="105">
        <v>0.0091</v>
      </c>
      <c r="AH8" s="87"/>
      <c r="AI8" s="106">
        <f t="shared" si="4"/>
        <v>1003.210273</v>
      </c>
      <c r="AJ8" s="106">
        <f t="shared" si="5"/>
        <v>151699.7248</v>
      </c>
      <c r="AK8" s="106">
        <f t="shared" si="6"/>
        <v>50561.79775</v>
      </c>
      <c r="AL8" s="106">
        <f t="shared" si="7"/>
        <v>606741.573</v>
      </c>
      <c r="AM8" s="71"/>
      <c r="AN8" s="107" t="s">
        <v>57</v>
      </c>
      <c r="AO8" s="107" t="s">
        <v>57</v>
      </c>
      <c r="AP8" s="107" t="s">
        <v>57</v>
      </c>
      <c r="AQ8" s="107" t="s">
        <v>57</v>
      </c>
      <c r="AR8" s="76"/>
      <c r="AS8" s="107" t="s">
        <v>72</v>
      </c>
      <c r="AT8" s="108" t="s">
        <v>73</v>
      </c>
      <c r="AU8" s="108" t="s">
        <v>74</v>
      </c>
      <c r="AV8" s="108" t="s">
        <v>75</v>
      </c>
      <c r="AW8" s="109" t="s">
        <v>76</v>
      </c>
      <c r="AX8" s="108" t="s">
        <v>77</v>
      </c>
      <c r="AY8" s="70"/>
    </row>
    <row r="9">
      <c r="A9" s="3" t="s">
        <v>78</v>
      </c>
      <c r="B9" s="78" t="s">
        <v>63</v>
      </c>
      <c r="C9" s="79" t="s">
        <v>79</v>
      </c>
      <c r="D9" s="54">
        <v>1.0</v>
      </c>
      <c r="E9" s="55"/>
      <c r="F9" s="110">
        <v>0.3</v>
      </c>
      <c r="G9" s="80">
        <f>Z9</f>
        <v>0.16</v>
      </c>
      <c r="H9" s="98">
        <f>Y9-Z9</f>
        <v>0.5309</v>
      </c>
      <c r="I9" s="8"/>
      <c r="J9" s="82">
        <f>H9/D9</f>
        <v>0.5309</v>
      </c>
      <c r="K9" s="111">
        <f>F9*D9</f>
        <v>0.3</v>
      </c>
      <c r="L9" s="82">
        <f t="shared" ref="L9:L10" si="13">Z9*AE9</f>
        <v>0.110544</v>
      </c>
      <c r="M9" s="12"/>
      <c r="N9" s="83">
        <f t="shared" si="1"/>
        <v>11398.17629</v>
      </c>
      <c r="O9" s="60"/>
      <c r="P9" s="61"/>
      <c r="Q9" s="94">
        <f t="shared" si="9"/>
        <v>0.00455</v>
      </c>
      <c r="R9" s="61"/>
      <c r="S9" s="94">
        <f t="shared" si="10"/>
        <v>0.00455</v>
      </c>
      <c r="T9" s="112"/>
      <c r="U9" s="91"/>
      <c r="V9" s="84">
        <f t="shared" si="2"/>
        <v>106.7622419</v>
      </c>
      <c r="W9" s="85">
        <f t="shared" si="11"/>
        <v>10947.57329</v>
      </c>
      <c r="X9" s="55"/>
      <c r="Y9" s="90">
        <f>AE9/D9</f>
        <v>0.6909</v>
      </c>
      <c r="Z9" s="66">
        <v>0.16</v>
      </c>
      <c r="AA9" s="66" t="s">
        <v>57</v>
      </c>
      <c r="AB9" s="113"/>
      <c r="AC9" s="114">
        <f>70%*D9</f>
        <v>0.7</v>
      </c>
      <c r="AD9" s="115"/>
      <c r="AE9" s="111">
        <f t="shared" ref="AE9:AE10" si="14">AC9-AG9</f>
        <v>0.6909</v>
      </c>
      <c r="AF9" s="116"/>
      <c r="AG9" s="86">
        <v>0.0091</v>
      </c>
      <c r="AH9" s="117"/>
      <c r="AI9" s="72">
        <f t="shared" si="4"/>
        <v>904.617166</v>
      </c>
      <c r="AJ9" s="72">
        <f t="shared" si="5"/>
        <v>136791.0386</v>
      </c>
      <c r="AK9" s="72">
        <f t="shared" si="6"/>
        <v>45592.70517</v>
      </c>
      <c r="AL9" s="72">
        <f t="shared" si="7"/>
        <v>547112.462</v>
      </c>
      <c r="AM9" s="71"/>
      <c r="AN9" s="118" t="s">
        <v>57</v>
      </c>
      <c r="AO9" s="118" t="s">
        <v>57</v>
      </c>
      <c r="AP9" s="118" t="s">
        <v>57</v>
      </c>
      <c r="AQ9" s="118" t="s">
        <v>57</v>
      </c>
      <c r="AR9" s="119"/>
      <c r="AS9" s="74" t="s">
        <v>80</v>
      </c>
      <c r="AT9" s="92" t="s">
        <v>81</v>
      </c>
      <c r="AU9" s="92" t="s">
        <v>82</v>
      </c>
      <c r="AV9" s="120" t="s">
        <v>76</v>
      </c>
      <c r="AW9" s="121"/>
      <c r="AX9" s="115"/>
      <c r="AY9" s="115"/>
    </row>
    <row r="10">
      <c r="A10" s="3" t="s">
        <v>83</v>
      </c>
      <c r="B10" s="78" t="s">
        <v>63</v>
      </c>
      <c r="C10" s="79" t="s">
        <v>79</v>
      </c>
      <c r="D10" s="122" t="s">
        <v>57</v>
      </c>
      <c r="E10" s="123"/>
      <c r="F10" s="56" t="s">
        <v>57</v>
      </c>
      <c r="G10" s="61"/>
      <c r="H10" s="7" t="s">
        <v>57</v>
      </c>
      <c r="I10" s="8"/>
      <c r="J10" s="9" t="s">
        <v>57</v>
      </c>
      <c r="K10" s="57" t="s">
        <v>57</v>
      </c>
      <c r="L10" s="82">
        <f t="shared" si="13"/>
        <v>0.110544</v>
      </c>
      <c r="M10" s="12"/>
      <c r="N10" s="83">
        <f>SUM(($N$3+9.99)/L10)</f>
        <v>11488.54755</v>
      </c>
      <c r="O10" s="60"/>
      <c r="P10" s="61"/>
      <c r="Q10" s="94">
        <f t="shared" si="9"/>
        <v>0.00455</v>
      </c>
      <c r="R10" s="61"/>
      <c r="S10" s="94">
        <f t="shared" si="10"/>
        <v>0.00455</v>
      </c>
      <c r="T10" s="63"/>
      <c r="U10" s="91"/>
      <c r="V10" s="84">
        <f t="shared" si="2"/>
        <v>107.1846423</v>
      </c>
      <c r="W10" s="85">
        <f t="shared" si="11"/>
        <v>10947.57329</v>
      </c>
      <c r="X10" s="55"/>
      <c r="Y10" s="66" t="s">
        <v>57</v>
      </c>
      <c r="Z10" s="66">
        <v>0.16</v>
      </c>
      <c r="AA10" s="66" t="s">
        <v>57</v>
      </c>
      <c r="AB10" s="113"/>
      <c r="AC10" s="124">
        <v>0.7</v>
      </c>
      <c r="AD10" s="115"/>
      <c r="AE10" s="111">
        <f t="shared" si="14"/>
        <v>0.6909</v>
      </c>
      <c r="AF10" s="116"/>
      <c r="AG10" s="86">
        <v>0.0091</v>
      </c>
      <c r="AH10" s="117"/>
      <c r="AI10" s="72">
        <f t="shared" si="4"/>
        <v>904.617166</v>
      </c>
      <c r="AJ10" s="72">
        <f t="shared" si="5"/>
        <v>136791.0386</v>
      </c>
      <c r="AK10" s="72">
        <f t="shared" si="6"/>
        <v>45954.19019</v>
      </c>
      <c r="AL10" s="72">
        <f t="shared" si="7"/>
        <v>551450.2822</v>
      </c>
      <c r="AM10" s="71"/>
      <c r="AN10" s="118" t="s">
        <v>57</v>
      </c>
      <c r="AO10" s="118" t="s">
        <v>57</v>
      </c>
      <c r="AP10" s="118" t="s">
        <v>57</v>
      </c>
      <c r="AQ10" s="118" t="s">
        <v>57</v>
      </c>
      <c r="AR10" s="119"/>
      <c r="AS10" s="74" t="s">
        <v>84</v>
      </c>
      <c r="AT10" s="120" t="s">
        <v>85</v>
      </c>
      <c r="AU10" s="120" t="s">
        <v>76</v>
      </c>
      <c r="AV10" s="125" t="s">
        <v>86</v>
      </c>
      <c r="AW10" s="121"/>
      <c r="AX10" s="115"/>
      <c r="AY10" s="115"/>
    </row>
    <row r="11">
      <c r="A11" s="3" t="s">
        <v>87</v>
      </c>
      <c r="B11" s="78" t="s">
        <v>63</v>
      </c>
      <c r="C11" s="79" t="s">
        <v>79</v>
      </c>
      <c r="D11" s="54">
        <v>0.99</v>
      </c>
      <c r="E11" s="55"/>
      <c r="F11" s="126">
        <v>0.3</v>
      </c>
      <c r="G11" s="80">
        <f t="shared" ref="G11:G12" si="15">Z11</f>
        <v>0.16</v>
      </c>
      <c r="H11" s="98">
        <f>Y11-Z11</f>
        <v>0.54</v>
      </c>
      <c r="I11" s="8"/>
      <c r="J11" s="82">
        <f>H11/D11</f>
        <v>0.5454545455</v>
      </c>
      <c r="K11" s="111">
        <f>F11*D11</f>
        <v>0.297</v>
      </c>
      <c r="L11" s="82">
        <f>Z11*Y11*D11</f>
        <v>0.11088</v>
      </c>
      <c r="M11" s="12"/>
      <c r="N11" s="83">
        <f>SUM($N$3/L11)</f>
        <v>11363.63636</v>
      </c>
      <c r="O11" s="60"/>
      <c r="P11" s="61"/>
      <c r="Q11" s="94">
        <f t="shared" si="9"/>
        <v>0.00455</v>
      </c>
      <c r="R11" s="61"/>
      <c r="S11" s="94">
        <f t="shared" si="10"/>
        <v>0.00455</v>
      </c>
      <c r="T11" s="63"/>
      <c r="U11" s="91"/>
      <c r="V11" s="84">
        <f t="shared" si="2"/>
        <v>106.6003582</v>
      </c>
      <c r="W11" s="85">
        <f t="shared" si="11"/>
        <v>10915.70649</v>
      </c>
      <c r="X11" s="55"/>
      <c r="Y11" s="80">
        <f>100%-F11</f>
        <v>0.7</v>
      </c>
      <c r="Z11" s="66">
        <v>0.16</v>
      </c>
      <c r="AA11" s="66" t="s">
        <v>57</v>
      </c>
      <c r="AB11" s="67"/>
      <c r="AC11" s="56" t="s">
        <v>58</v>
      </c>
      <c r="AD11" s="61"/>
      <c r="AE11" s="56" t="s">
        <v>58</v>
      </c>
      <c r="AF11" s="70"/>
      <c r="AG11" s="86">
        <v>0.0091</v>
      </c>
      <c r="AH11" s="87"/>
      <c r="AI11" s="72">
        <f t="shared" si="4"/>
        <v>901.8759019</v>
      </c>
      <c r="AJ11" s="72">
        <f t="shared" si="5"/>
        <v>136376.5203</v>
      </c>
      <c r="AK11" s="72">
        <f t="shared" si="6"/>
        <v>45454.54545</v>
      </c>
      <c r="AL11" s="72">
        <f t="shared" si="7"/>
        <v>545454.5455</v>
      </c>
      <c r="AM11" s="71"/>
      <c r="AN11" s="74" t="s">
        <v>57</v>
      </c>
      <c r="AO11" s="74" t="s">
        <v>57</v>
      </c>
      <c r="AP11" s="74" t="s">
        <v>57</v>
      </c>
      <c r="AQ11" s="74" t="s">
        <v>57</v>
      </c>
      <c r="AR11" s="76"/>
      <c r="AS11" s="74" t="s">
        <v>72</v>
      </c>
      <c r="AT11" s="92" t="s">
        <v>73</v>
      </c>
      <c r="AU11" s="92" t="s">
        <v>74</v>
      </c>
      <c r="AV11" s="92" t="s">
        <v>75</v>
      </c>
      <c r="AW11" s="120" t="s">
        <v>76</v>
      </c>
      <c r="AX11" s="127" t="s">
        <v>88</v>
      </c>
      <c r="AY11" s="89"/>
    </row>
    <row r="12">
      <c r="A12" s="3" t="s">
        <v>89</v>
      </c>
      <c r="B12" s="78" t="s">
        <v>55</v>
      </c>
      <c r="C12" s="79" t="s">
        <v>79</v>
      </c>
      <c r="D12" s="54">
        <v>0.99</v>
      </c>
      <c r="E12" s="55"/>
      <c r="F12" s="110">
        <v>0.3</v>
      </c>
      <c r="G12" s="80">
        <f t="shared" si="15"/>
        <v>1</v>
      </c>
      <c r="H12" s="7" t="s">
        <v>57</v>
      </c>
      <c r="I12" s="8"/>
      <c r="J12" s="9" t="s">
        <v>57</v>
      </c>
      <c r="K12" s="57">
        <v>0.29</v>
      </c>
      <c r="L12" s="82">
        <f>Z12*D12</f>
        <v>0.99</v>
      </c>
      <c r="M12" s="12"/>
      <c r="N12" s="83">
        <f>(N3+12.95)/L12</f>
        <v>1285.808081</v>
      </c>
      <c r="O12" s="60"/>
      <c r="P12" s="61"/>
      <c r="Q12" s="56" t="s">
        <v>58</v>
      </c>
      <c r="R12" s="61"/>
      <c r="S12" s="56" t="s">
        <v>58</v>
      </c>
      <c r="T12" s="63"/>
      <c r="U12" s="91"/>
      <c r="V12" s="84">
        <f t="shared" si="2"/>
        <v>35.85816617</v>
      </c>
      <c r="W12" s="85">
        <f>N12</f>
        <v>1285.808081</v>
      </c>
      <c r="X12" s="64"/>
      <c r="Y12" s="126">
        <v>0.7</v>
      </c>
      <c r="Z12" s="66">
        <v>1.0</v>
      </c>
      <c r="AA12" s="66" t="s">
        <v>57</v>
      </c>
      <c r="AB12" s="67"/>
      <c r="AC12" s="56" t="s">
        <v>58</v>
      </c>
      <c r="AD12" s="61"/>
      <c r="AE12" s="56" t="s">
        <v>58</v>
      </c>
      <c r="AF12" s="70"/>
      <c r="AG12" s="74" t="s">
        <v>58</v>
      </c>
      <c r="AH12" s="87"/>
      <c r="AI12" s="72">
        <f t="shared" si="4"/>
        <v>101.010101</v>
      </c>
      <c r="AJ12" s="72">
        <f t="shared" si="5"/>
        <v>15274.17027</v>
      </c>
      <c r="AK12" s="72">
        <f t="shared" si="6"/>
        <v>5143.232323</v>
      </c>
      <c r="AL12" s="72">
        <f t="shared" si="7"/>
        <v>61718.78788</v>
      </c>
      <c r="AM12" s="71"/>
      <c r="AN12" s="74" t="s">
        <v>57</v>
      </c>
      <c r="AO12" s="74" t="s">
        <v>57</v>
      </c>
      <c r="AP12" s="74" t="s">
        <v>57</v>
      </c>
      <c r="AQ12" s="74" t="s">
        <v>57</v>
      </c>
      <c r="AR12" s="76"/>
      <c r="AS12" s="74" t="s">
        <v>90</v>
      </c>
      <c r="AT12" s="92" t="s">
        <v>61</v>
      </c>
      <c r="AU12" s="128" t="s">
        <v>74</v>
      </c>
      <c r="AV12" s="92" t="s">
        <v>75</v>
      </c>
      <c r="AW12" s="89"/>
      <c r="AX12" s="89"/>
      <c r="AY12" s="89"/>
    </row>
    <row r="13">
      <c r="A13" s="3" t="s">
        <v>91</v>
      </c>
      <c r="B13" s="78" t="s">
        <v>55</v>
      </c>
      <c r="C13" s="79" t="s">
        <v>79</v>
      </c>
      <c r="D13" s="54">
        <v>0.99</v>
      </c>
      <c r="E13" s="55"/>
      <c r="F13" s="110">
        <v>0.3</v>
      </c>
      <c r="G13" s="61"/>
      <c r="H13" s="7" t="s">
        <v>57</v>
      </c>
      <c r="I13" s="8"/>
      <c r="J13" s="9" t="s">
        <v>57</v>
      </c>
      <c r="K13" s="57">
        <v>0.29</v>
      </c>
      <c r="L13" s="82">
        <f t="shared" ref="L13:L14" si="16">Z13*AC13</f>
        <v>0.693</v>
      </c>
      <c r="M13" s="12"/>
      <c r="N13" s="83">
        <f>($N$3+9.99)/L13</f>
        <v>1832.597403</v>
      </c>
      <c r="O13" s="60"/>
      <c r="P13" s="61"/>
      <c r="Q13" s="94">
        <f t="shared" ref="Q13:Q16" si="17">50%*AG13</f>
        <v>0.00455</v>
      </c>
      <c r="R13" s="61"/>
      <c r="S13" s="94">
        <f t="shared" ref="S13:S16" si="18">50%*AG13</f>
        <v>0.00455</v>
      </c>
      <c r="T13" s="63"/>
      <c r="U13" s="91"/>
      <c r="V13" s="84">
        <f t="shared" si="2"/>
        <v>42.80884725</v>
      </c>
      <c r="W13" s="85">
        <f t="shared" ref="W13:W16" si="19">$W$3/(S13+L13)</f>
        <v>1806.322127</v>
      </c>
      <c r="X13" s="55"/>
      <c r="Y13" s="56" t="s">
        <v>57</v>
      </c>
      <c r="Z13" s="66">
        <v>1.0</v>
      </c>
      <c r="AA13" s="129" t="s">
        <v>58</v>
      </c>
      <c r="AB13" s="113"/>
      <c r="AC13" s="130">
        <f>70%*D13</f>
        <v>0.693</v>
      </c>
      <c r="AD13" s="61"/>
      <c r="AE13" s="131">
        <f t="shared" ref="AE13:AE14" si="20">AC13-AG13</f>
        <v>0.6839</v>
      </c>
      <c r="AF13" s="116"/>
      <c r="AG13" s="86">
        <v>0.0091</v>
      </c>
      <c r="AH13" s="117"/>
      <c r="AI13" s="72">
        <f t="shared" si="4"/>
        <v>144.3001443</v>
      </c>
      <c r="AJ13" s="72">
        <f t="shared" si="5"/>
        <v>21820.24325</v>
      </c>
      <c r="AK13" s="72">
        <f t="shared" si="6"/>
        <v>7330.38961</v>
      </c>
      <c r="AL13" s="72">
        <f t="shared" si="7"/>
        <v>87964.67532</v>
      </c>
      <c r="AM13" s="117"/>
      <c r="AN13" s="118" t="s">
        <v>57</v>
      </c>
      <c r="AO13" s="118" t="s">
        <v>57</v>
      </c>
      <c r="AP13" s="118" t="s">
        <v>57</v>
      </c>
      <c r="AQ13" s="118" t="s">
        <v>57</v>
      </c>
      <c r="AR13" s="119"/>
      <c r="AS13" s="74" t="s">
        <v>92</v>
      </c>
      <c r="AT13" s="92" t="s">
        <v>88</v>
      </c>
      <c r="AU13" s="125" t="s">
        <v>86</v>
      </c>
      <c r="AV13" s="115"/>
      <c r="AW13" s="121"/>
      <c r="AX13" s="115"/>
      <c r="AY13" s="115"/>
    </row>
    <row r="14">
      <c r="A14" s="3" t="s">
        <v>93</v>
      </c>
      <c r="B14" s="78" t="s">
        <v>55</v>
      </c>
      <c r="C14" s="79" t="s">
        <v>79</v>
      </c>
      <c r="D14" s="54">
        <v>0.99</v>
      </c>
      <c r="E14" s="55"/>
      <c r="F14" s="93" t="s">
        <v>57</v>
      </c>
      <c r="G14" s="61"/>
      <c r="H14" s="7" t="s">
        <v>57</v>
      </c>
      <c r="I14" s="8"/>
      <c r="J14" s="9" t="s">
        <v>57</v>
      </c>
      <c r="K14" s="132" t="s">
        <v>57</v>
      </c>
      <c r="L14" s="82">
        <f t="shared" si="16"/>
        <v>0.7</v>
      </c>
      <c r="M14" s="12"/>
      <c r="N14" s="83">
        <f>($N$3+34.95)/L14</f>
        <v>1849.928571</v>
      </c>
      <c r="O14" s="60"/>
      <c r="P14" s="61"/>
      <c r="Q14" s="94">
        <f t="shared" si="17"/>
        <v>0.00455</v>
      </c>
      <c r="R14" s="61"/>
      <c r="S14" s="94">
        <f t="shared" si="18"/>
        <v>0.00455</v>
      </c>
      <c r="T14" s="63"/>
      <c r="U14" s="91"/>
      <c r="V14" s="84">
        <f t="shared" si="2"/>
        <v>43.01079599</v>
      </c>
      <c r="W14" s="85">
        <f t="shared" si="19"/>
        <v>1788.375559</v>
      </c>
      <c r="X14" s="55"/>
      <c r="Y14" s="56" t="s">
        <v>57</v>
      </c>
      <c r="Z14" s="66">
        <v>1.0</v>
      </c>
      <c r="AA14" s="129" t="s">
        <v>58</v>
      </c>
      <c r="AB14" s="113"/>
      <c r="AC14" s="57">
        <v>0.7</v>
      </c>
      <c r="AD14" s="115"/>
      <c r="AE14" s="131">
        <f t="shared" si="20"/>
        <v>0.6909</v>
      </c>
      <c r="AF14" s="116"/>
      <c r="AG14" s="86">
        <v>0.0091</v>
      </c>
      <c r="AH14" s="117"/>
      <c r="AI14" s="72">
        <f t="shared" si="4"/>
        <v>142.8571429</v>
      </c>
      <c r="AJ14" s="72">
        <f t="shared" si="5"/>
        <v>21602.04082</v>
      </c>
      <c r="AK14" s="72">
        <f t="shared" si="6"/>
        <v>7399.714286</v>
      </c>
      <c r="AL14" s="72">
        <f t="shared" si="7"/>
        <v>88796.57143</v>
      </c>
      <c r="AM14" s="117"/>
      <c r="AN14" s="74" t="s">
        <v>57</v>
      </c>
      <c r="AO14" s="74" t="s">
        <v>57</v>
      </c>
      <c r="AP14" s="74" t="s">
        <v>57</v>
      </c>
      <c r="AQ14" s="74" t="s">
        <v>57</v>
      </c>
      <c r="AR14" s="119"/>
      <c r="AS14" s="74" t="s">
        <v>94</v>
      </c>
      <c r="AT14" s="92" t="s">
        <v>95</v>
      </c>
      <c r="AU14" s="115"/>
      <c r="AV14" s="115"/>
      <c r="AW14" s="121"/>
      <c r="AX14" s="115"/>
      <c r="AY14" s="115"/>
    </row>
    <row r="15">
      <c r="A15" s="3" t="s">
        <v>87</v>
      </c>
      <c r="B15" s="78" t="s">
        <v>63</v>
      </c>
      <c r="C15" s="79" t="s">
        <v>96</v>
      </c>
      <c r="D15" s="54">
        <v>9.99</v>
      </c>
      <c r="E15" s="55"/>
      <c r="F15" s="110">
        <v>0.3</v>
      </c>
      <c r="G15" s="61"/>
      <c r="H15" s="7" t="s">
        <v>57</v>
      </c>
      <c r="I15" s="8"/>
      <c r="J15" s="9" t="s">
        <v>57</v>
      </c>
      <c r="K15" s="111">
        <f>F15*D15</f>
        <v>2.997</v>
      </c>
      <c r="L15" s="82">
        <f>Z15*Y15*D15</f>
        <v>1.11888</v>
      </c>
      <c r="M15" s="12"/>
      <c r="N15" s="83">
        <f>SUM($N$3/L15)</f>
        <v>1126.126126</v>
      </c>
      <c r="O15" s="60"/>
      <c r="P15" s="61"/>
      <c r="Q15" s="94">
        <f t="shared" si="17"/>
        <v>0.00455</v>
      </c>
      <c r="R15" s="61"/>
      <c r="S15" s="94">
        <f t="shared" si="18"/>
        <v>0.00455</v>
      </c>
      <c r="T15" s="63"/>
      <c r="U15" s="91"/>
      <c r="V15" s="84">
        <f t="shared" si="2"/>
        <v>33.55780276</v>
      </c>
      <c r="W15" s="85">
        <f t="shared" si="19"/>
        <v>1121.565207</v>
      </c>
      <c r="X15" s="55"/>
      <c r="Y15" s="80">
        <f>100%-F15</f>
        <v>0.7</v>
      </c>
      <c r="Z15" s="66">
        <v>0.16</v>
      </c>
      <c r="AA15" s="66" t="s">
        <v>57</v>
      </c>
      <c r="AB15" s="67"/>
      <c r="AC15" s="56" t="s">
        <v>58</v>
      </c>
      <c r="AD15" s="61"/>
      <c r="AE15" s="56" t="s">
        <v>58</v>
      </c>
      <c r="AF15" s="70"/>
      <c r="AG15" s="86">
        <v>0.0091</v>
      </c>
      <c r="AH15" s="87"/>
      <c r="AI15" s="72">
        <f t="shared" si="4"/>
        <v>89.37508938</v>
      </c>
      <c r="AJ15" s="72">
        <f t="shared" si="5"/>
        <v>13514.7903</v>
      </c>
      <c r="AK15" s="72">
        <f t="shared" si="6"/>
        <v>4504.504505</v>
      </c>
      <c r="AL15" s="72">
        <f t="shared" si="7"/>
        <v>54054.05405</v>
      </c>
      <c r="AM15" s="71"/>
      <c r="AN15" s="74" t="s">
        <v>57</v>
      </c>
      <c r="AO15" s="74" t="s">
        <v>57</v>
      </c>
      <c r="AP15" s="74" t="s">
        <v>57</v>
      </c>
      <c r="AQ15" s="74" t="s">
        <v>57</v>
      </c>
      <c r="AR15" s="76"/>
      <c r="AS15" s="74" t="s">
        <v>72</v>
      </c>
      <c r="AT15" s="92" t="s">
        <v>97</v>
      </c>
      <c r="AU15" s="128" t="s">
        <v>74</v>
      </c>
      <c r="AV15" s="92" t="s">
        <v>75</v>
      </c>
      <c r="AW15" s="92" t="s">
        <v>76</v>
      </c>
      <c r="AX15" s="89"/>
      <c r="AY15" s="89"/>
    </row>
    <row r="16">
      <c r="A16" s="3" t="s">
        <v>93</v>
      </c>
      <c r="B16" s="78" t="s">
        <v>55</v>
      </c>
      <c r="C16" s="79" t="s">
        <v>96</v>
      </c>
      <c r="D16" s="54">
        <v>9.99</v>
      </c>
      <c r="E16" s="55"/>
      <c r="F16" s="93" t="s">
        <v>57</v>
      </c>
      <c r="G16" s="61"/>
      <c r="H16" s="7" t="s">
        <v>57</v>
      </c>
      <c r="I16" s="8"/>
      <c r="J16" s="9" t="s">
        <v>57</v>
      </c>
      <c r="K16" s="132" t="s">
        <v>57</v>
      </c>
      <c r="L16" s="82">
        <f>Z16*AC16</f>
        <v>7</v>
      </c>
      <c r="M16" s="12"/>
      <c r="N16" s="83">
        <f>($N$3+34.95)/L16</f>
        <v>184.9928571</v>
      </c>
      <c r="O16" s="60"/>
      <c r="P16" s="61"/>
      <c r="Q16" s="94">
        <f t="shared" si="17"/>
        <v>0.00455</v>
      </c>
      <c r="R16" s="61"/>
      <c r="S16" s="94">
        <f t="shared" si="18"/>
        <v>0.00455</v>
      </c>
      <c r="T16" s="63"/>
      <c r="U16" s="91"/>
      <c r="V16" s="84">
        <f t="shared" si="2"/>
        <v>13.60120793</v>
      </c>
      <c r="W16" s="85">
        <f t="shared" si="19"/>
        <v>179.883076</v>
      </c>
      <c r="X16" s="55"/>
      <c r="Y16" s="56" t="s">
        <v>57</v>
      </c>
      <c r="Z16" s="66">
        <v>1.0</v>
      </c>
      <c r="AA16" s="129" t="s">
        <v>58</v>
      </c>
      <c r="AB16" s="113"/>
      <c r="AC16" s="57">
        <v>7.0</v>
      </c>
      <c r="AD16" s="115"/>
      <c r="AE16" s="131">
        <f>AC16-AG16</f>
        <v>6.9909</v>
      </c>
      <c r="AF16" s="116"/>
      <c r="AG16" s="86">
        <v>0.0091</v>
      </c>
      <c r="AH16" s="117"/>
      <c r="AI16" s="72">
        <f t="shared" si="4"/>
        <v>14.28571429</v>
      </c>
      <c r="AJ16" s="72">
        <f t="shared" si="5"/>
        <v>2160.204082</v>
      </c>
      <c r="AK16" s="72">
        <f t="shared" si="6"/>
        <v>739.9714286</v>
      </c>
      <c r="AL16" s="72">
        <f t="shared" si="7"/>
        <v>8879.657143</v>
      </c>
      <c r="AM16" s="117"/>
      <c r="AN16" s="74" t="s">
        <v>57</v>
      </c>
      <c r="AO16" s="74" t="s">
        <v>57</v>
      </c>
      <c r="AP16" s="74" t="s">
        <v>57</v>
      </c>
      <c r="AQ16" s="74" t="s">
        <v>57</v>
      </c>
      <c r="AR16" s="119"/>
      <c r="AS16" s="74" t="s">
        <v>98</v>
      </c>
      <c r="AT16" s="92" t="s">
        <v>95</v>
      </c>
      <c r="AU16" s="115"/>
      <c r="AV16" s="115"/>
      <c r="AW16" s="121"/>
      <c r="AX16" s="115"/>
      <c r="AY16" s="115"/>
    </row>
    <row r="17">
      <c r="A17" s="1" t="s">
        <v>59</v>
      </c>
      <c r="B17" s="78" t="s">
        <v>55</v>
      </c>
      <c r="C17" s="79" t="s">
        <v>96</v>
      </c>
      <c r="D17" s="54">
        <v>9.99</v>
      </c>
      <c r="E17" s="55"/>
      <c r="F17" s="126">
        <v>0.09</v>
      </c>
      <c r="G17" s="61"/>
      <c r="H17" s="7" t="s">
        <v>57</v>
      </c>
      <c r="I17" s="8"/>
      <c r="J17" s="9" t="s">
        <v>57</v>
      </c>
      <c r="K17" s="111">
        <f t="shared" ref="K17:K19" si="21">F17*D17</f>
        <v>0.8991</v>
      </c>
      <c r="L17" s="82">
        <f>Z17*D17</f>
        <v>9.99</v>
      </c>
      <c r="M17" s="12"/>
      <c r="N17" s="83">
        <f>SUM($N$3/L17)</f>
        <v>126.1261261</v>
      </c>
      <c r="O17" s="60"/>
      <c r="P17" s="61"/>
      <c r="Q17" s="56" t="s">
        <v>58</v>
      </c>
      <c r="R17" s="61"/>
      <c r="S17" s="56" t="s">
        <v>58</v>
      </c>
      <c r="T17" s="63"/>
      <c r="U17" s="91"/>
      <c r="V17" s="84">
        <f t="shared" si="2"/>
        <v>11.23058886</v>
      </c>
      <c r="W17" s="85">
        <f>N17</f>
        <v>126.1261261</v>
      </c>
      <c r="X17" s="64"/>
      <c r="Y17" s="80">
        <f>100%-F17</f>
        <v>0.91</v>
      </c>
      <c r="Z17" s="66">
        <v>1.0</v>
      </c>
      <c r="AA17" s="66" t="s">
        <v>57</v>
      </c>
      <c r="AB17" s="67"/>
      <c r="AC17" s="56" t="s">
        <v>58</v>
      </c>
      <c r="AD17" s="61"/>
      <c r="AE17" s="56" t="s">
        <v>58</v>
      </c>
      <c r="AF17" s="70"/>
      <c r="AG17" s="74" t="s">
        <v>58</v>
      </c>
      <c r="AH17" s="87"/>
      <c r="AI17" s="72">
        <f t="shared" si="4"/>
        <v>10.01001001</v>
      </c>
      <c r="AJ17" s="72">
        <f t="shared" si="5"/>
        <v>1513.656514</v>
      </c>
      <c r="AK17" s="72">
        <f t="shared" si="6"/>
        <v>504.5045045</v>
      </c>
      <c r="AL17" s="72">
        <f t="shared" si="7"/>
        <v>6054.054054</v>
      </c>
      <c r="AM17" s="71"/>
      <c r="AN17" s="74" t="s">
        <v>57</v>
      </c>
      <c r="AO17" s="74" t="s">
        <v>57</v>
      </c>
      <c r="AP17" s="74" t="s">
        <v>57</v>
      </c>
      <c r="AQ17" s="74" t="s">
        <v>57</v>
      </c>
      <c r="AR17" s="76"/>
      <c r="AS17" s="75"/>
      <c r="AT17" s="92" t="s">
        <v>99</v>
      </c>
      <c r="AU17" s="125" t="s">
        <v>100</v>
      </c>
      <c r="AV17" s="88"/>
      <c r="AW17" s="23"/>
      <c r="AX17" s="89"/>
      <c r="AY17" s="89"/>
    </row>
    <row r="18">
      <c r="A18" s="3" t="s">
        <v>101</v>
      </c>
      <c r="B18" s="78" t="s">
        <v>55</v>
      </c>
      <c r="C18" s="79" t="s">
        <v>96</v>
      </c>
      <c r="D18" s="54">
        <v>9.99</v>
      </c>
      <c r="E18" s="55"/>
      <c r="F18" s="126">
        <v>0.0</v>
      </c>
      <c r="G18" s="61"/>
      <c r="H18" s="7" t="s">
        <v>57</v>
      </c>
      <c r="I18" s="8"/>
      <c r="J18" s="9" t="s">
        <v>57</v>
      </c>
      <c r="K18" s="111">
        <f t="shared" si="21"/>
        <v>0</v>
      </c>
      <c r="L18" s="82">
        <f>Z18*AE18</f>
        <v>9.9809</v>
      </c>
      <c r="M18" s="12"/>
      <c r="N18" s="83">
        <f>SUM(($N$3+49.99)/L18)</f>
        <v>131.2496869</v>
      </c>
      <c r="O18" s="60"/>
      <c r="P18" s="61"/>
      <c r="Q18" s="94">
        <f>50%*AG18</f>
        <v>0.00455</v>
      </c>
      <c r="R18" s="61"/>
      <c r="S18" s="94">
        <f>50%*AG18</f>
        <v>0.00455</v>
      </c>
      <c r="T18" s="63"/>
      <c r="U18" s="91"/>
      <c r="V18" s="84">
        <f t="shared" si="2"/>
        <v>11.45642557</v>
      </c>
      <c r="W18" s="85">
        <f>$W$3/(S18+L18)</f>
        <v>126.1835971</v>
      </c>
      <c r="X18" s="55"/>
      <c r="Y18" s="56" t="s">
        <v>57</v>
      </c>
      <c r="Z18" s="66">
        <v>1.0</v>
      </c>
      <c r="AA18" s="129" t="s">
        <v>58</v>
      </c>
      <c r="AB18" s="113"/>
      <c r="AC18" s="57">
        <v>9.99</v>
      </c>
      <c r="AD18" s="115"/>
      <c r="AE18" s="111">
        <f>AC18-AG18</f>
        <v>9.9809</v>
      </c>
      <c r="AF18" s="116"/>
      <c r="AG18" s="86">
        <v>0.0091</v>
      </c>
      <c r="AH18" s="117"/>
      <c r="AI18" s="72">
        <f t="shared" si="4"/>
        <v>10.01913655</v>
      </c>
      <c r="AJ18" s="72">
        <f t="shared" si="5"/>
        <v>1515.036577</v>
      </c>
      <c r="AK18" s="72">
        <f t="shared" si="6"/>
        <v>524.9987476</v>
      </c>
      <c r="AL18" s="72">
        <f t="shared" si="7"/>
        <v>6299.984971</v>
      </c>
      <c r="AM18" s="117"/>
      <c r="AN18" s="118" t="s">
        <v>57</v>
      </c>
      <c r="AO18" s="118" t="s">
        <v>57</v>
      </c>
      <c r="AP18" s="118" t="s">
        <v>57</v>
      </c>
      <c r="AQ18" s="118" t="s">
        <v>57</v>
      </c>
      <c r="AR18" s="119"/>
      <c r="AS18" s="74" t="s">
        <v>102</v>
      </c>
      <c r="AT18" s="92" t="s">
        <v>86</v>
      </c>
      <c r="AU18" s="115"/>
      <c r="AV18" s="115"/>
      <c r="AW18" s="121"/>
      <c r="AX18" s="115"/>
      <c r="AY18" s="115"/>
    </row>
    <row r="19">
      <c r="A19" s="3" t="s">
        <v>103</v>
      </c>
      <c r="B19" s="78" t="s">
        <v>55</v>
      </c>
      <c r="C19" s="79" t="s">
        <v>96</v>
      </c>
      <c r="D19" s="54">
        <v>6.73</v>
      </c>
      <c r="E19" s="55"/>
      <c r="F19" s="126">
        <v>0.15</v>
      </c>
      <c r="G19" s="61"/>
      <c r="H19" s="7" t="s">
        <v>57</v>
      </c>
      <c r="I19" s="8"/>
      <c r="J19" s="9" t="s">
        <v>57</v>
      </c>
      <c r="K19" s="111">
        <f t="shared" si="21"/>
        <v>1.0095</v>
      </c>
      <c r="L19" s="82">
        <f>Z19*Y19*D19</f>
        <v>5.7205</v>
      </c>
      <c r="M19" s="12"/>
      <c r="N19" s="83">
        <f t="shared" ref="N19:N27" si="22">SUM($N$3/L19)</f>
        <v>220.2604667</v>
      </c>
      <c r="O19" s="60"/>
      <c r="P19" s="61"/>
      <c r="Q19" s="56" t="s">
        <v>58</v>
      </c>
      <c r="R19" s="61"/>
      <c r="S19" s="56" t="s">
        <v>58</v>
      </c>
      <c r="T19" s="63"/>
      <c r="U19" s="91"/>
      <c r="V19" s="84">
        <f t="shared" si="2"/>
        <v>14.84117471</v>
      </c>
      <c r="W19" s="85">
        <f>N19</f>
        <v>220.2604667</v>
      </c>
      <c r="X19" s="64"/>
      <c r="Y19" s="126">
        <v>0.85</v>
      </c>
      <c r="Z19" s="66">
        <v>1.0</v>
      </c>
      <c r="AA19" s="66" t="s">
        <v>57</v>
      </c>
      <c r="AB19" s="67"/>
      <c r="AC19" s="56" t="s">
        <v>58</v>
      </c>
      <c r="AD19" s="61"/>
      <c r="AE19" s="56" t="s">
        <v>58</v>
      </c>
      <c r="AF19" s="70"/>
      <c r="AG19" s="74" t="s">
        <v>58</v>
      </c>
      <c r="AH19" s="71"/>
      <c r="AI19" s="72">
        <f t="shared" si="4"/>
        <v>17.48098942</v>
      </c>
      <c r="AJ19" s="72">
        <f t="shared" si="5"/>
        <v>2643.375329</v>
      </c>
      <c r="AK19" s="72">
        <f t="shared" si="6"/>
        <v>881.041867</v>
      </c>
      <c r="AL19" s="72">
        <f t="shared" si="7"/>
        <v>10572.5024</v>
      </c>
      <c r="AM19" s="71"/>
      <c r="AN19" s="74" t="s">
        <v>57</v>
      </c>
      <c r="AO19" s="74" t="s">
        <v>57</v>
      </c>
      <c r="AP19" s="74" t="s">
        <v>57</v>
      </c>
      <c r="AQ19" s="74" t="s">
        <v>57</v>
      </c>
      <c r="AR19" s="76"/>
      <c r="AS19" s="75"/>
      <c r="AT19" s="92" t="s">
        <v>77</v>
      </c>
      <c r="AU19" s="75"/>
      <c r="AV19" s="75"/>
      <c r="AW19" s="23"/>
      <c r="AX19" s="89"/>
      <c r="AY19" s="89"/>
    </row>
    <row r="20">
      <c r="A20" s="3" t="s">
        <v>104</v>
      </c>
      <c r="B20" s="78" t="s">
        <v>63</v>
      </c>
      <c r="C20" s="79" t="s">
        <v>105</v>
      </c>
      <c r="D20" s="54" t="s">
        <v>58</v>
      </c>
      <c r="E20" s="55"/>
      <c r="F20" s="56" t="s">
        <v>57</v>
      </c>
      <c r="G20" s="61"/>
      <c r="H20" s="7" t="s">
        <v>57</v>
      </c>
      <c r="I20" s="8"/>
      <c r="J20" s="82">
        <f>AA20*AC20</f>
        <v>0.07</v>
      </c>
      <c r="K20" s="57" t="s">
        <v>57</v>
      </c>
      <c r="L20" s="82">
        <f>Z20*AC20</f>
        <v>0.0665</v>
      </c>
      <c r="M20" s="12"/>
      <c r="N20" s="83">
        <f t="shared" si="22"/>
        <v>18947.36842</v>
      </c>
      <c r="O20" s="60"/>
      <c r="P20" s="61"/>
      <c r="Q20" s="94">
        <f t="shared" ref="Q20:Q23" si="23">50%*AG20</f>
        <v>0.00455</v>
      </c>
      <c r="R20" s="61"/>
      <c r="S20" s="94">
        <f t="shared" ref="S20:S23" si="24">50%*AG20</f>
        <v>0.00455</v>
      </c>
      <c r="T20" s="63"/>
      <c r="U20" s="91"/>
      <c r="V20" s="84">
        <f t="shared" si="2"/>
        <v>137.6494403</v>
      </c>
      <c r="W20" s="85">
        <f t="shared" ref="W20:W23" si="25">$W$3/(S20+L20)</f>
        <v>17733.99015</v>
      </c>
      <c r="X20" s="55"/>
      <c r="Y20" s="66" t="s">
        <v>57</v>
      </c>
      <c r="Z20" s="66">
        <v>0.475</v>
      </c>
      <c r="AA20" s="66">
        <v>0.5</v>
      </c>
      <c r="AB20" s="67"/>
      <c r="AC20" s="68">
        <v>0.14</v>
      </c>
      <c r="AD20" s="68">
        <v>0.14</v>
      </c>
      <c r="AE20" s="68" t="s">
        <v>57</v>
      </c>
      <c r="AF20" s="70"/>
      <c r="AG20" s="86">
        <v>0.0091</v>
      </c>
      <c r="AH20" s="71"/>
      <c r="AI20" s="72">
        <f t="shared" si="4"/>
        <v>1503.759398</v>
      </c>
      <c r="AJ20" s="72">
        <f t="shared" si="5"/>
        <v>227389.9033</v>
      </c>
      <c r="AK20" s="72">
        <f t="shared" si="6"/>
        <v>75789.47368</v>
      </c>
      <c r="AL20" s="72">
        <f t="shared" si="7"/>
        <v>909473.6842</v>
      </c>
      <c r="AM20" s="71"/>
      <c r="AN20" s="74" t="s">
        <v>57</v>
      </c>
      <c r="AO20" s="74" t="s">
        <v>57</v>
      </c>
      <c r="AP20" s="74" t="s">
        <v>57</v>
      </c>
      <c r="AQ20" s="74" t="s">
        <v>57</v>
      </c>
      <c r="AR20" s="76"/>
      <c r="AS20" s="74" t="s">
        <v>106</v>
      </c>
      <c r="AT20" s="92" t="s">
        <v>107</v>
      </c>
      <c r="AU20" s="133"/>
      <c r="AV20" s="75"/>
      <c r="AW20" s="23"/>
      <c r="AX20" s="89"/>
      <c r="AY20" s="89"/>
    </row>
    <row r="21">
      <c r="A21" s="3" t="s">
        <v>108</v>
      </c>
      <c r="B21" s="78" t="s">
        <v>63</v>
      </c>
      <c r="C21" s="79" t="s">
        <v>105</v>
      </c>
      <c r="D21" s="54" t="s">
        <v>58</v>
      </c>
      <c r="E21" s="55"/>
      <c r="F21" s="56" t="s">
        <v>57</v>
      </c>
      <c r="G21" s="61"/>
      <c r="H21" s="7" t="s">
        <v>57</v>
      </c>
      <c r="I21" s="8"/>
      <c r="J21" s="82">
        <f>AA21*Y21*AC21</f>
        <v>0.0574275</v>
      </c>
      <c r="K21" s="57" t="s">
        <v>57</v>
      </c>
      <c r="L21" s="82">
        <f>Z21*Y21*AC21</f>
        <v>0.054556125</v>
      </c>
      <c r="M21" s="12"/>
      <c r="N21" s="83">
        <f t="shared" si="22"/>
        <v>23095.48195</v>
      </c>
      <c r="O21" s="60"/>
      <c r="P21" s="61"/>
      <c r="Q21" s="94">
        <f t="shared" si="23"/>
        <v>0.00455</v>
      </c>
      <c r="R21" s="61"/>
      <c r="S21" s="94">
        <f t="shared" si="24"/>
        <v>0.00455</v>
      </c>
      <c r="T21" s="63"/>
      <c r="U21" s="91"/>
      <c r="V21" s="84">
        <f t="shared" si="2"/>
        <v>151.9719775</v>
      </c>
      <c r="W21" s="85">
        <f t="shared" si="25"/>
        <v>21317.58764</v>
      </c>
      <c r="X21" s="55"/>
      <c r="Y21" s="90">
        <f>93%*95%</f>
        <v>0.8835</v>
      </c>
      <c r="Z21" s="66">
        <v>0.475</v>
      </c>
      <c r="AA21" s="66">
        <v>0.5</v>
      </c>
      <c r="AB21" s="67"/>
      <c r="AC21" s="68">
        <v>0.13</v>
      </c>
      <c r="AD21" s="61"/>
      <c r="AE21" s="68" t="s">
        <v>57</v>
      </c>
      <c r="AF21" s="70"/>
      <c r="AG21" s="86">
        <v>0.0091</v>
      </c>
      <c r="AH21" s="71"/>
      <c r="AI21" s="72">
        <f t="shared" si="4"/>
        <v>1832.974758</v>
      </c>
      <c r="AJ21" s="72">
        <f t="shared" si="5"/>
        <v>277171.9687</v>
      </c>
      <c r="AK21" s="72">
        <f t="shared" si="6"/>
        <v>92381.92779</v>
      </c>
      <c r="AL21" s="72">
        <f t="shared" si="7"/>
        <v>1108583.133</v>
      </c>
      <c r="AM21" s="71"/>
      <c r="AN21" s="134">
        <v>3.99</v>
      </c>
      <c r="AO21" s="135">
        <f>AN21*12</f>
        <v>47.88</v>
      </c>
      <c r="AP21" s="88">
        <f>AN21/AC21</f>
        <v>30.69230769</v>
      </c>
      <c r="AQ21" s="88">
        <f>AO21/AC21</f>
        <v>368.3076923</v>
      </c>
      <c r="AR21" s="76"/>
      <c r="AS21" s="74" t="s">
        <v>109</v>
      </c>
      <c r="AT21" s="92" t="s">
        <v>110</v>
      </c>
      <c r="AU21" s="136" t="s">
        <v>111</v>
      </c>
      <c r="AV21" s="92" t="s">
        <v>81</v>
      </c>
      <c r="AW21" s="23"/>
      <c r="AX21" s="89"/>
      <c r="AY21" s="89"/>
    </row>
    <row r="22">
      <c r="A22" s="3" t="s">
        <v>112</v>
      </c>
      <c r="B22" s="78" t="s">
        <v>63</v>
      </c>
      <c r="C22" s="79" t="s">
        <v>113</v>
      </c>
      <c r="D22" s="54" t="s">
        <v>58</v>
      </c>
      <c r="E22" s="55"/>
      <c r="F22" s="66" t="s">
        <v>57</v>
      </c>
      <c r="G22" s="61"/>
      <c r="H22" s="7" t="s">
        <v>57</v>
      </c>
      <c r="I22" s="8"/>
      <c r="J22" s="9" t="s">
        <v>57</v>
      </c>
      <c r="K22" s="57" t="s">
        <v>57</v>
      </c>
      <c r="L22" s="137">
        <f t="shared" ref="L22:L23" si="26">Z22*AE22</f>
        <v>0.288144</v>
      </c>
      <c r="M22" s="12"/>
      <c r="N22" s="83">
        <f t="shared" si="22"/>
        <v>4372.813593</v>
      </c>
      <c r="O22" s="60"/>
      <c r="P22" s="61"/>
      <c r="Q22" s="94">
        <f t="shared" si="23"/>
        <v>0.00455</v>
      </c>
      <c r="R22" s="61"/>
      <c r="S22" s="94">
        <f t="shared" si="24"/>
        <v>0.00455</v>
      </c>
      <c r="T22" s="63"/>
      <c r="U22" s="91"/>
      <c r="V22" s="84">
        <f t="shared" si="2"/>
        <v>66.12725303</v>
      </c>
      <c r="W22" s="85">
        <f t="shared" si="25"/>
        <v>4304.837134</v>
      </c>
      <c r="X22" s="55"/>
      <c r="Y22" s="57" t="s">
        <v>58</v>
      </c>
      <c r="Z22" s="126">
        <v>0.16</v>
      </c>
      <c r="AA22" s="66" t="s">
        <v>57</v>
      </c>
      <c r="AB22" s="113"/>
      <c r="AC22" s="57">
        <v>1.81</v>
      </c>
      <c r="AD22" s="115"/>
      <c r="AE22" s="111">
        <f>AC22-AG22</f>
        <v>1.8009</v>
      </c>
      <c r="AF22" s="116"/>
      <c r="AG22" s="56">
        <v>0.0091</v>
      </c>
      <c r="AH22" s="117"/>
      <c r="AI22" s="72">
        <f t="shared" si="4"/>
        <v>347.0486979</v>
      </c>
      <c r="AJ22" s="72">
        <f t="shared" si="5"/>
        <v>52478.72096</v>
      </c>
      <c r="AK22" s="72">
        <f t="shared" si="6"/>
        <v>17491.25437</v>
      </c>
      <c r="AL22" s="72">
        <f t="shared" si="7"/>
        <v>209895.0525</v>
      </c>
      <c r="AM22" s="117"/>
      <c r="AN22" s="138">
        <v>14.49</v>
      </c>
      <c r="AO22" s="74" t="s">
        <v>57</v>
      </c>
      <c r="AP22" s="139" t="s">
        <v>57</v>
      </c>
      <c r="AQ22" s="139" t="s">
        <v>57</v>
      </c>
      <c r="AR22" s="119"/>
      <c r="AS22" s="74" t="s">
        <v>114</v>
      </c>
      <c r="AT22" s="92" t="s">
        <v>115</v>
      </c>
      <c r="AU22" s="120" t="s">
        <v>76</v>
      </c>
      <c r="AV22" s="115"/>
      <c r="AW22" s="121"/>
      <c r="AX22" s="115"/>
      <c r="AY22" s="115"/>
    </row>
    <row r="23">
      <c r="A23" s="3" t="s">
        <v>116</v>
      </c>
      <c r="B23" s="78" t="s">
        <v>63</v>
      </c>
      <c r="C23" s="79" t="s">
        <v>113</v>
      </c>
      <c r="D23" s="54" t="s">
        <v>58</v>
      </c>
      <c r="E23" s="55"/>
      <c r="F23" s="56" t="s">
        <v>57</v>
      </c>
      <c r="G23" s="61"/>
      <c r="H23" s="7" t="s">
        <v>57</v>
      </c>
      <c r="I23" s="8"/>
      <c r="J23" s="140" t="s">
        <v>57</v>
      </c>
      <c r="K23" s="57" t="s">
        <v>57</v>
      </c>
      <c r="L23" s="137">
        <f t="shared" si="26"/>
        <v>0.00008</v>
      </c>
      <c r="M23" s="12"/>
      <c r="N23" s="83">
        <f t="shared" si="22"/>
        <v>15750000</v>
      </c>
      <c r="O23" s="60"/>
      <c r="P23" s="61"/>
      <c r="Q23" s="94">
        <f t="shared" si="23"/>
        <v>0.00455</v>
      </c>
      <c r="R23" s="61"/>
      <c r="S23" s="94">
        <f t="shared" si="24"/>
        <v>0.00455</v>
      </c>
      <c r="T23" s="63"/>
      <c r="U23" s="91"/>
      <c r="V23" s="84">
        <f t="shared" si="2"/>
        <v>3968.626967</v>
      </c>
      <c r="W23" s="85">
        <f t="shared" si="25"/>
        <v>272138.2289</v>
      </c>
      <c r="X23" s="55"/>
      <c r="Y23" s="57" t="s">
        <v>58</v>
      </c>
      <c r="Z23" s="126">
        <v>0.16</v>
      </c>
      <c r="AA23" s="66" t="s">
        <v>57</v>
      </c>
      <c r="AB23" s="67"/>
      <c r="AC23" s="141">
        <f>AE23+AG23</f>
        <v>0.0096</v>
      </c>
      <c r="AD23" s="89"/>
      <c r="AE23" s="142">
        <v>5.0E-4</v>
      </c>
      <c r="AF23" s="70"/>
      <c r="AG23" s="86">
        <v>0.0091</v>
      </c>
      <c r="AH23" s="87"/>
      <c r="AI23" s="72">
        <f t="shared" si="4"/>
        <v>1250000</v>
      </c>
      <c r="AJ23" s="72">
        <f t="shared" si="5"/>
        <v>189017857.1</v>
      </c>
      <c r="AK23" s="72">
        <f t="shared" si="6"/>
        <v>63000000</v>
      </c>
      <c r="AL23" s="72">
        <f t="shared" si="7"/>
        <v>756000000</v>
      </c>
      <c r="AM23" s="71"/>
      <c r="AN23" s="138">
        <v>3.0</v>
      </c>
      <c r="AO23" s="143">
        <f>AN23*12</f>
        <v>36</v>
      </c>
      <c r="AP23" s="88">
        <f>AN23/AE23</f>
        <v>6000</v>
      </c>
      <c r="AQ23" s="88">
        <f>AO23/AE23</f>
        <v>72000</v>
      </c>
      <c r="AR23" s="76"/>
      <c r="AS23" s="74" t="s">
        <v>117</v>
      </c>
      <c r="AT23" s="92" t="s">
        <v>118</v>
      </c>
      <c r="AU23" s="120" t="s">
        <v>76</v>
      </c>
      <c r="AV23" s="92" t="s">
        <v>119</v>
      </c>
      <c r="AW23" s="89"/>
      <c r="AX23" s="89"/>
      <c r="AY23" s="89"/>
    </row>
    <row r="24">
      <c r="A24" s="1" t="s">
        <v>59</v>
      </c>
      <c r="B24" s="78" t="s">
        <v>55</v>
      </c>
      <c r="C24" s="79" t="s">
        <v>120</v>
      </c>
      <c r="D24" s="54" t="s">
        <v>58</v>
      </c>
      <c r="E24" s="55"/>
      <c r="F24" s="126">
        <v>0.09</v>
      </c>
      <c r="G24" s="61"/>
      <c r="H24" s="7" t="s">
        <v>57</v>
      </c>
      <c r="I24" s="8"/>
      <c r="J24" s="9" t="s">
        <v>57</v>
      </c>
      <c r="K24" s="69">
        <f>F24*AC24</f>
        <v>0.0009</v>
      </c>
      <c r="L24" s="82">
        <f>Z24*AC24</f>
        <v>0.0091</v>
      </c>
      <c r="M24" s="12"/>
      <c r="N24" s="83">
        <f t="shared" si="22"/>
        <v>138461.5385</v>
      </c>
      <c r="O24" s="60"/>
      <c r="P24" s="61"/>
      <c r="Q24" s="56" t="s">
        <v>58</v>
      </c>
      <c r="R24" s="61"/>
      <c r="S24" s="56" t="s">
        <v>58</v>
      </c>
      <c r="T24" s="63"/>
      <c r="U24" s="91"/>
      <c r="V24" s="84">
        <f t="shared" si="2"/>
        <v>372.1042038</v>
      </c>
      <c r="W24" s="85">
        <f>N24</f>
        <v>138461.5385</v>
      </c>
      <c r="X24" s="64"/>
      <c r="Y24" s="56" t="s">
        <v>57</v>
      </c>
      <c r="Z24" s="66">
        <v>0.91</v>
      </c>
      <c r="AA24" s="66" t="s">
        <v>57</v>
      </c>
      <c r="AB24" s="67"/>
      <c r="AC24" s="68">
        <v>0.01</v>
      </c>
      <c r="AD24" s="69"/>
      <c r="AE24" s="68" t="s">
        <v>57</v>
      </c>
      <c r="AF24" s="70"/>
      <c r="AG24" s="74" t="s">
        <v>58</v>
      </c>
      <c r="AH24" s="87"/>
      <c r="AI24" s="72">
        <f t="shared" si="4"/>
        <v>10989.01099</v>
      </c>
      <c r="AJ24" s="72">
        <f t="shared" si="5"/>
        <v>1661695.447</v>
      </c>
      <c r="AK24" s="72">
        <f t="shared" si="6"/>
        <v>553846.1538</v>
      </c>
      <c r="AL24" s="72">
        <f t="shared" si="7"/>
        <v>6646153.846</v>
      </c>
      <c r="AM24" s="71"/>
      <c r="AN24" s="74" t="s">
        <v>57</v>
      </c>
      <c r="AO24" s="74" t="s">
        <v>57</v>
      </c>
      <c r="AP24" s="74" t="s">
        <v>57</v>
      </c>
      <c r="AQ24" s="74" t="s">
        <v>57</v>
      </c>
      <c r="AR24" s="76"/>
      <c r="AS24" s="75"/>
      <c r="AT24" s="92" t="s">
        <v>66</v>
      </c>
      <c r="AU24" s="92" t="s">
        <v>121</v>
      </c>
      <c r="AV24" s="88"/>
      <c r="AW24" s="23"/>
      <c r="AX24" s="89"/>
      <c r="AY24" s="89"/>
    </row>
    <row r="25">
      <c r="A25" s="1" t="s">
        <v>122</v>
      </c>
      <c r="B25" s="78" t="s">
        <v>55</v>
      </c>
      <c r="C25" s="79" t="s">
        <v>120</v>
      </c>
      <c r="D25" s="54" t="s">
        <v>58</v>
      </c>
      <c r="E25" s="55"/>
      <c r="F25" s="56" t="s">
        <v>57</v>
      </c>
      <c r="G25" s="61"/>
      <c r="H25" s="7" t="s">
        <v>57</v>
      </c>
      <c r="I25" s="8"/>
      <c r="J25" s="9" t="s">
        <v>57</v>
      </c>
      <c r="K25" s="57" t="s">
        <v>57</v>
      </c>
      <c r="L25" s="82">
        <f t="shared" ref="L25:L26" si="27">Z25*AE25</f>
        <v>0.0091</v>
      </c>
      <c r="M25" s="12"/>
      <c r="N25" s="83">
        <f t="shared" si="22"/>
        <v>138461.5385</v>
      </c>
      <c r="O25" s="60"/>
      <c r="P25" s="61"/>
      <c r="Q25" s="94">
        <f t="shared" ref="Q25:Q26" si="28">50%*AG25</f>
        <v>0.001114</v>
      </c>
      <c r="R25" s="61"/>
      <c r="S25" s="94">
        <f t="shared" ref="S25:S26" si="29">50%*AG25</f>
        <v>0.001114</v>
      </c>
      <c r="T25" s="63"/>
      <c r="U25" s="91"/>
      <c r="V25" s="84">
        <f t="shared" si="2"/>
        <v>372.1042038</v>
      </c>
      <c r="W25" s="85">
        <f t="shared" ref="W25:W27" si="30">$W$3/(S25+L25)</f>
        <v>123360.094</v>
      </c>
      <c r="X25" s="55"/>
      <c r="Y25" s="57" t="s">
        <v>58</v>
      </c>
      <c r="Z25" s="66">
        <v>1.0</v>
      </c>
      <c r="AA25" s="66" t="s">
        <v>57</v>
      </c>
      <c r="AB25" s="67"/>
      <c r="AC25" s="69">
        <f t="shared" ref="AC25:AC26" si="31">AE25+AG25</f>
        <v>0.011328</v>
      </c>
      <c r="AD25" s="89"/>
      <c r="AE25" s="144">
        <v>0.0091</v>
      </c>
      <c r="AF25" s="70"/>
      <c r="AG25" s="145">
        <v>0.002228</v>
      </c>
      <c r="AH25" s="87"/>
      <c r="AI25" s="72">
        <f t="shared" si="4"/>
        <v>10989.01099</v>
      </c>
      <c r="AJ25" s="72">
        <f t="shared" si="5"/>
        <v>1661695.447</v>
      </c>
      <c r="AK25" s="72">
        <f t="shared" si="6"/>
        <v>553846.1538</v>
      </c>
      <c r="AL25" s="72">
        <f t="shared" si="7"/>
        <v>6646153.846</v>
      </c>
      <c r="AM25" s="71"/>
      <c r="AN25" s="138">
        <v>9.99</v>
      </c>
      <c r="AO25" s="138">
        <v>109.99</v>
      </c>
      <c r="AP25" s="88">
        <f t="shared" ref="AP25:AP26" si="32">AN25/AC25</f>
        <v>881.8855932</v>
      </c>
      <c r="AQ25" s="88">
        <f t="shared" ref="AQ25:AQ26" si="33">AO25/AC25</f>
        <v>9709.569209</v>
      </c>
      <c r="AR25" s="76"/>
      <c r="AS25" s="74" t="s">
        <v>123</v>
      </c>
      <c r="AT25" s="92" t="s">
        <v>124</v>
      </c>
      <c r="AU25" s="92" t="s">
        <v>125</v>
      </c>
      <c r="AV25" s="88"/>
      <c r="AW25" s="23"/>
      <c r="AX25" s="89"/>
      <c r="AY25" s="89"/>
    </row>
    <row r="26">
      <c r="A26" s="3" t="s">
        <v>122</v>
      </c>
      <c r="B26" s="78" t="s">
        <v>63</v>
      </c>
      <c r="C26" s="79" t="s">
        <v>120</v>
      </c>
      <c r="D26" s="54" t="s">
        <v>58</v>
      </c>
      <c r="E26" s="55"/>
      <c r="F26" s="56" t="s">
        <v>57</v>
      </c>
      <c r="G26" s="61"/>
      <c r="H26" s="7" t="s">
        <v>57</v>
      </c>
      <c r="I26" s="8"/>
      <c r="J26" s="140" t="s">
        <v>57</v>
      </c>
      <c r="K26" s="57" t="s">
        <v>57</v>
      </c>
      <c r="L26" s="146">
        <f t="shared" si="27"/>
        <v>0.001456</v>
      </c>
      <c r="M26" s="12"/>
      <c r="N26" s="83">
        <f t="shared" si="22"/>
        <v>865384.6154</v>
      </c>
      <c r="O26" s="60"/>
      <c r="P26" s="61"/>
      <c r="Q26" s="94">
        <f t="shared" si="28"/>
        <v>0.001114</v>
      </c>
      <c r="R26" s="61"/>
      <c r="S26" s="94">
        <f t="shared" si="29"/>
        <v>0.001114</v>
      </c>
      <c r="T26" s="63"/>
      <c r="U26" s="91"/>
      <c r="V26" s="84">
        <f t="shared" si="2"/>
        <v>930.2605094</v>
      </c>
      <c r="W26" s="85">
        <f t="shared" si="30"/>
        <v>490272.3735</v>
      </c>
      <c r="X26" s="55"/>
      <c r="Y26" s="57" t="s">
        <v>58</v>
      </c>
      <c r="Z26" s="126">
        <v>0.16</v>
      </c>
      <c r="AA26" s="147" t="s">
        <v>57</v>
      </c>
      <c r="AB26" s="67"/>
      <c r="AC26" s="69">
        <f t="shared" si="31"/>
        <v>0.011328</v>
      </c>
      <c r="AD26" s="89"/>
      <c r="AE26" s="144">
        <v>0.0091</v>
      </c>
      <c r="AF26" s="70"/>
      <c r="AG26" s="145">
        <v>0.002228</v>
      </c>
      <c r="AH26" s="87"/>
      <c r="AI26" s="72">
        <f t="shared" si="4"/>
        <v>68681.31868</v>
      </c>
      <c r="AJ26" s="72">
        <f t="shared" si="5"/>
        <v>10385596.55</v>
      </c>
      <c r="AK26" s="72">
        <f t="shared" si="6"/>
        <v>3461538.462</v>
      </c>
      <c r="AL26" s="72">
        <f t="shared" si="7"/>
        <v>41538461.54</v>
      </c>
      <c r="AM26" s="71"/>
      <c r="AN26" s="138">
        <v>9.99</v>
      </c>
      <c r="AO26" s="138">
        <v>109.99</v>
      </c>
      <c r="AP26" s="88">
        <f t="shared" si="32"/>
        <v>881.8855932</v>
      </c>
      <c r="AQ26" s="88">
        <f t="shared" si="33"/>
        <v>9709.569209</v>
      </c>
      <c r="AR26" s="76"/>
      <c r="AS26" s="74" t="s">
        <v>126</v>
      </c>
      <c r="AT26" s="92" t="s">
        <v>124</v>
      </c>
      <c r="AU26" s="92" t="s">
        <v>125</v>
      </c>
      <c r="AV26" s="120" t="s">
        <v>76</v>
      </c>
      <c r="AW26" s="23"/>
      <c r="AX26" s="89"/>
      <c r="AY26" s="89"/>
    </row>
    <row r="27">
      <c r="A27" s="1" t="s">
        <v>127</v>
      </c>
      <c r="B27" s="78" t="s">
        <v>63</v>
      </c>
      <c r="C27" s="79" t="s">
        <v>128</v>
      </c>
      <c r="D27" s="54" t="s">
        <v>58</v>
      </c>
      <c r="E27" s="55"/>
      <c r="F27" s="93" t="s">
        <v>57</v>
      </c>
      <c r="G27" s="61"/>
      <c r="H27" s="7" t="s">
        <v>57</v>
      </c>
      <c r="I27" s="8"/>
      <c r="J27" s="146">
        <f>0.84*AE27</f>
        <v>0.00504</v>
      </c>
      <c r="K27" s="132" t="s">
        <v>57</v>
      </c>
      <c r="L27" s="146">
        <f>0.16*AE27</f>
        <v>0.00096</v>
      </c>
      <c r="M27" s="12"/>
      <c r="N27" s="83">
        <f t="shared" si="22"/>
        <v>1312500</v>
      </c>
      <c r="O27" s="60"/>
      <c r="P27" s="61"/>
      <c r="Q27" s="148">
        <f>0.5*$AG$27</f>
        <v>0.00065</v>
      </c>
      <c r="R27" s="61"/>
      <c r="S27" s="148">
        <f>0.5*$AG$27</f>
        <v>0.00065</v>
      </c>
      <c r="T27" s="63"/>
      <c r="U27" s="91"/>
      <c r="V27" s="84">
        <f t="shared" si="2"/>
        <v>1145.643924</v>
      </c>
      <c r="W27" s="85">
        <f t="shared" si="30"/>
        <v>782608.6957</v>
      </c>
      <c r="X27" s="55"/>
      <c r="Y27" s="57" t="s">
        <v>58</v>
      </c>
      <c r="Z27" s="66" t="s">
        <v>57</v>
      </c>
      <c r="AA27" s="66" t="s">
        <v>57</v>
      </c>
      <c r="AB27" s="67"/>
      <c r="AC27" s="56" t="s">
        <v>57</v>
      </c>
      <c r="AD27" s="89"/>
      <c r="AE27" s="68">
        <v>0.006</v>
      </c>
      <c r="AF27" s="70"/>
      <c r="AG27" s="144">
        <v>0.0013</v>
      </c>
      <c r="AH27" s="87"/>
      <c r="AI27" s="72">
        <f t="shared" si="4"/>
        <v>104166.6667</v>
      </c>
      <c r="AJ27" s="72">
        <f t="shared" si="5"/>
        <v>15751488.1</v>
      </c>
      <c r="AK27" s="72">
        <f t="shared" si="6"/>
        <v>5250000</v>
      </c>
      <c r="AL27" s="72">
        <f t="shared" si="7"/>
        <v>63000000</v>
      </c>
      <c r="AM27" s="71"/>
      <c r="AN27" s="138">
        <v>5.0</v>
      </c>
      <c r="AO27" s="149">
        <f>AN27*12</f>
        <v>60</v>
      </c>
      <c r="AP27" s="88">
        <f>AN27/AE27</f>
        <v>833.3333333</v>
      </c>
      <c r="AQ27" s="88">
        <f>AO27/AE27</f>
        <v>10000</v>
      </c>
      <c r="AR27" s="76"/>
      <c r="AS27" s="74" t="s">
        <v>129</v>
      </c>
      <c r="AT27" s="92" t="s">
        <v>130</v>
      </c>
      <c r="AU27" s="127" t="s">
        <v>131</v>
      </c>
      <c r="AV27" s="92" t="s">
        <v>132</v>
      </c>
      <c r="AW27" s="92" t="s">
        <v>133</v>
      </c>
      <c r="AX27" s="92" t="s">
        <v>134</v>
      </c>
      <c r="AY27" s="89"/>
    </row>
    <row r="28">
      <c r="A28" s="150"/>
      <c r="B28" s="52"/>
      <c r="C28" s="70"/>
      <c r="D28" s="151"/>
      <c r="E28" s="64"/>
      <c r="F28" s="61"/>
      <c r="G28" s="61"/>
      <c r="H28" s="8"/>
      <c r="I28" s="8"/>
      <c r="J28" s="8"/>
      <c r="K28" s="111"/>
      <c r="L28" s="8"/>
      <c r="M28" s="10"/>
      <c r="N28" s="152"/>
      <c r="O28" s="60"/>
      <c r="P28" s="61"/>
      <c r="Q28" s="61"/>
      <c r="R28" s="61"/>
      <c r="S28" s="61"/>
      <c r="T28" s="63"/>
      <c r="U28" s="91"/>
      <c r="V28" s="84">
        <f t="shared" si="2"/>
        <v>0</v>
      </c>
      <c r="W28" s="153"/>
      <c r="X28" s="64"/>
      <c r="Y28" s="89"/>
      <c r="Z28" s="154"/>
      <c r="AA28" s="154"/>
      <c r="AB28" s="155"/>
      <c r="AC28" s="89"/>
      <c r="AD28" s="89"/>
      <c r="AE28" s="156"/>
      <c r="AF28" s="70"/>
      <c r="AG28" s="89"/>
      <c r="AH28" s="71"/>
      <c r="AI28" s="157"/>
      <c r="AJ28" s="89"/>
      <c r="AK28" s="89"/>
      <c r="AL28" s="89"/>
      <c r="AM28" s="71"/>
      <c r="AN28" s="89"/>
      <c r="AO28" s="89"/>
      <c r="AP28" s="89"/>
      <c r="AQ28" s="89"/>
      <c r="AR28" s="76"/>
      <c r="AS28" s="89"/>
      <c r="AT28" s="158"/>
      <c r="AU28" s="89"/>
      <c r="AV28" s="89"/>
      <c r="AW28" s="158"/>
      <c r="AX28" s="89"/>
      <c r="AY28" s="89"/>
    </row>
    <row r="29">
      <c r="A29" s="159" t="s">
        <v>135</v>
      </c>
      <c r="B29" s="160"/>
      <c r="C29" s="160"/>
      <c r="D29" s="161" t="s">
        <v>136</v>
      </c>
      <c r="E29" s="162"/>
      <c r="F29" s="163" t="s">
        <v>137</v>
      </c>
      <c r="G29" s="164"/>
      <c r="H29" s="7" t="s">
        <v>138</v>
      </c>
      <c r="I29" s="8"/>
      <c r="J29" s="9" t="s">
        <v>139</v>
      </c>
      <c r="K29" s="165" t="s">
        <v>140</v>
      </c>
      <c r="L29" s="9" t="s">
        <v>141</v>
      </c>
      <c r="M29" s="32"/>
      <c r="N29" s="166" t="s">
        <v>142</v>
      </c>
      <c r="O29" s="34"/>
      <c r="P29" s="167"/>
      <c r="Q29" s="164"/>
      <c r="R29" s="167"/>
      <c r="S29" s="168"/>
      <c r="T29" s="169"/>
      <c r="U29" s="162"/>
      <c r="V29" s="84"/>
      <c r="W29" s="170" t="s">
        <v>142</v>
      </c>
      <c r="X29" s="162"/>
      <c r="Y29" s="167"/>
      <c r="Z29" s="171" t="s">
        <v>143</v>
      </c>
      <c r="AA29" s="170" t="s">
        <v>144</v>
      </c>
      <c r="AB29" s="67"/>
      <c r="AC29" s="167"/>
      <c r="AD29" s="164"/>
      <c r="AE29" s="172"/>
      <c r="AF29" s="164"/>
      <c r="AG29" s="164"/>
      <c r="AH29" s="173"/>
      <c r="AI29" s="174" t="s">
        <v>145</v>
      </c>
      <c r="AJ29" s="170" t="s">
        <v>146</v>
      </c>
      <c r="AK29" s="170" t="s">
        <v>147</v>
      </c>
      <c r="AL29" s="170" t="s">
        <v>148</v>
      </c>
      <c r="AM29" s="173"/>
      <c r="AN29" s="164"/>
      <c r="AO29" s="164"/>
      <c r="AP29" s="164"/>
      <c r="AQ29" s="164"/>
      <c r="AR29" s="175"/>
      <c r="AS29" s="164"/>
      <c r="AT29" s="176"/>
      <c r="AU29" s="164"/>
      <c r="AV29" s="164"/>
      <c r="AW29" s="176"/>
      <c r="AX29" s="164"/>
      <c r="AY29" s="164"/>
    </row>
    <row r="30">
      <c r="A30" s="3" t="s">
        <v>149</v>
      </c>
      <c r="B30" s="78" t="s">
        <v>63</v>
      </c>
      <c r="C30" s="79" t="s">
        <v>150</v>
      </c>
      <c r="D30" s="54">
        <v>6.33</v>
      </c>
      <c r="E30" s="55"/>
      <c r="F30" s="126">
        <v>0.45</v>
      </c>
      <c r="G30" s="61"/>
      <c r="H30" s="177">
        <f>J30/D30</f>
        <v>0.25</v>
      </c>
      <c r="I30" s="8"/>
      <c r="J30" s="82">
        <f>AA30*D30</f>
        <v>1.5825</v>
      </c>
      <c r="K30" s="111">
        <f>F30*D30</f>
        <v>2.8485</v>
      </c>
      <c r="L30" s="82">
        <f>Z30*D30</f>
        <v>1.899</v>
      </c>
      <c r="M30" s="12"/>
      <c r="N30" s="83">
        <f>(SUM($N$3/L30))*1000</f>
        <v>663507.109</v>
      </c>
      <c r="O30" s="60"/>
      <c r="P30" s="61"/>
      <c r="Q30" s="61"/>
      <c r="R30" s="61"/>
      <c r="S30" s="178"/>
      <c r="T30" s="63"/>
      <c r="U30" s="91"/>
      <c r="V30" s="84">
        <f>SQRT(N30)</f>
        <v>814.559457</v>
      </c>
      <c r="W30" s="85">
        <f>N30</f>
        <v>663507.109</v>
      </c>
      <c r="X30" s="64"/>
      <c r="Y30" s="179"/>
      <c r="Z30" s="90">
        <f>100%-(F30+AA30)</f>
        <v>0.3</v>
      </c>
      <c r="AA30" s="180">
        <v>0.25</v>
      </c>
      <c r="AB30" s="113"/>
      <c r="AC30" s="115"/>
      <c r="AD30" s="115"/>
      <c r="AE30" s="61"/>
      <c r="AF30" s="116"/>
      <c r="AG30" s="115"/>
      <c r="AH30" s="117"/>
      <c r="AI30" s="72">
        <f>100/L30</f>
        <v>52.65929437</v>
      </c>
      <c r="AJ30" s="72">
        <f>$AJ$3/L30</f>
        <v>7962.837584</v>
      </c>
      <c r="AK30" s="72">
        <f>N30*4</f>
        <v>2654028.436</v>
      </c>
      <c r="AL30" s="72">
        <f>AK30*12</f>
        <v>31848341.23</v>
      </c>
      <c r="AM30" s="117"/>
      <c r="AN30" s="118" t="s">
        <v>57</v>
      </c>
      <c r="AO30" s="118" t="s">
        <v>57</v>
      </c>
      <c r="AP30" s="118" t="s">
        <v>57</v>
      </c>
      <c r="AQ30" s="118" t="s">
        <v>57</v>
      </c>
      <c r="AR30" s="119"/>
      <c r="AS30" s="74" t="s">
        <v>151</v>
      </c>
      <c r="AT30" s="92" t="s">
        <v>152</v>
      </c>
      <c r="AU30" s="92" t="s">
        <v>153</v>
      </c>
      <c r="AV30" s="115"/>
      <c r="AW30" s="121"/>
      <c r="AX30" s="115"/>
      <c r="AY30" s="115"/>
    </row>
    <row r="31">
      <c r="A31" s="181"/>
      <c r="B31" s="52"/>
      <c r="C31" s="70"/>
      <c r="D31" s="182"/>
      <c r="E31" s="123"/>
      <c r="F31" s="61"/>
      <c r="G31" s="61"/>
      <c r="H31" s="8"/>
      <c r="I31" s="8"/>
      <c r="J31" s="82"/>
      <c r="K31" s="111"/>
      <c r="L31" s="82"/>
      <c r="M31" s="183"/>
      <c r="N31" s="184"/>
      <c r="O31" s="60"/>
      <c r="P31" s="61"/>
      <c r="Q31" s="61"/>
      <c r="R31" s="61"/>
      <c r="S31" s="61"/>
      <c r="T31" s="63"/>
      <c r="U31" s="64"/>
      <c r="V31" s="185"/>
      <c r="W31" s="186"/>
      <c r="X31" s="123"/>
      <c r="Y31" s="115"/>
      <c r="Z31" s="187"/>
      <c r="AA31" s="188"/>
      <c r="AB31" s="113"/>
      <c r="AC31" s="115"/>
      <c r="AD31" s="115"/>
      <c r="AE31" s="189"/>
      <c r="AF31" s="116"/>
      <c r="AG31" s="115"/>
      <c r="AH31" s="117"/>
      <c r="AI31" s="157"/>
      <c r="AJ31" s="89"/>
      <c r="AK31" s="89"/>
      <c r="AL31" s="89"/>
      <c r="AM31" s="117"/>
      <c r="AN31" s="115"/>
      <c r="AO31" s="115"/>
      <c r="AP31" s="115"/>
      <c r="AQ31" s="115"/>
      <c r="AR31" s="119"/>
      <c r="AS31" s="75"/>
      <c r="AT31" s="121"/>
      <c r="AU31" s="190"/>
      <c r="AV31" s="115"/>
      <c r="AW31" s="121"/>
      <c r="AX31" s="115"/>
      <c r="AY31" s="115"/>
    </row>
    <row r="32">
      <c r="A32" s="181"/>
      <c r="B32" s="52"/>
      <c r="C32" s="70"/>
      <c r="D32" s="182"/>
      <c r="E32" s="123"/>
      <c r="F32" s="61"/>
      <c r="G32" s="61"/>
      <c r="H32" s="8"/>
      <c r="I32" s="8"/>
      <c r="J32" s="82"/>
      <c r="K32" s="111"/>
      <c r="L32" s="82"/>
      <c r="M32" s="183"/>
      <c r="N32" s="184"/>
      <c r="O32" s="60"/>
      <c r="P32" s="61"/>
      <c r="Q32" s="61"/>
      <c r="R32" s="61"/>
      <c r="S32" s="61"/>
      <c r="T32" s="63"/>
      <c r="U32" s="64"/>
      <c r="V32" s="185"/>
      <c r="W32" s="186"/>
      <c r="X32" s="123"/>
      <c r="Y32" s="115"/>
      <c r="Z32" s="187"/>
      <c r="AA32" s="188"/>
      <c r="AB32" s="113"/>
      <c r="AC32" s="115"/>
      <c r="AD32" s="115"/>
      <c r="AE32" s="189"/>
      <c r="AF32" s="116"/>
      <c r="AG32" s="115"/>
      <c r="AH32" s="117"/>
      <c r="AI32" s="157"/>
      <c r="AJ32" s="89"/>
      <c r="AK32" s="89"/>
      <c r="AL32" s="89"/>
      <c r="AM32" s="117"/>
      <c r="AN32" s="115"/>
      <c r="AO32" s="115"/>
      <c r="AP32" s="115"/>
      <c r="AQ32" s="115"/>
      <c r="AR32" s="119"/>
      <c r="AS32" s="75"/>
      <c r="AT32" s="121"/>
      <c r="AU32" s="190"/>
      <c r="AV32" s="115"/>
      <c r="AW32" s="121"/>
      <c r="AX32" s="115"/>
      <c r="AY32" s="115"/>
    </row>
  </sheetData>
  <conditionalFormatting sqref="A1">
    <cfRule type="containsText" dxfId="0" priority="1" operator="containsText" text="n/a">
      <formula>NOT(ISERROR(SEARCH(("n/a"),(A1))))</formula>
    </cfRule>
  </conditionalFormatting>
  <conditionalFormatting sqref="A3:A31">
    <cfRule type="containsText" dxfId="0" priority="2" operator="containsText" text="n/a">
      <formula>NOT(ISERROR(SEARCH(("n/a"),(A3))))</formula>
    </cfRule>
  </conditionalFormatting>
  <conditionalFormatting sqref="B1:C31">
    <cfRule type="containsText" dxfId="0" priority="3" operator="containsText" text="n/a">
      <formula>NOT(ISERROR(SEARCH(("n/a"),(B1))))</formula>
    </cfRule>
  </conditionalFormatting>
  <conditionalFormatting sqref="D1">
    <cfRule type="containsText" dxfId="0" priority="4" operator="containsText" text="n/a">
      <formula>NOT(ISERROR(SEARCH(("n/a"),(D1))))</formula>
    </cfRule>
  </conditionalFormatting>
  <conditionalFormatting sqref="D3:D31">
    <cfRule type="containsText" dxfId="0" priority="5" operator="containsText" text="n/a">
      <formula>NOT(ISERROR(SEARCH(("n/a"),(D3))))</formula>
    </cfRule>
  </conditionalFormatting>
  <conditionalFormatting sqref="E1:AF31">
    <cfRule type="containsText" dxfId="0" priority="6" operator="containsText" text="n/a">
      <formula>NOT(ISERROR(SEARCH(("n/a"),(E1))))</formula>
    </cfRule>
  </conditionalFormatting>
  <conditionalFormatting sqref="AG1:AG26">
    <cfRule type="containsText" dxfId="0" priority="7" operator="containsText" text="n/a">
      <formula>NOT(ISERROR(SEARCH(("n/a"),(AG1))))</formula>
    </cfRule>
  </conditionalFormatting>
  <conditionalFormatting sqref="AG29:AG31">
    <cfRule type="containsText" dxfId="0" priority="8" operator="containsText" text="n/a">
      <formula>NOT(ISERROR(SEARCH(("n/a"),(AG29))))</formula>
    </cfRule>
  </conditionalFormatting>
  <conditionalFormatting sqref="AH1:AI31">
    <cfRule type="containsText" dxfId="0" priority="9" operator="containsText" text="n/a">
      <formula>NOT(ISERROR(SEARCH(("n/a"),(AH1))))</formula>
    </cfRule>
  </conditionalFormatting>
  <conditionalFormatting sqref="AJ1:AJ2">
    <cfRule type="containsText" dxfId="0" priority="10" operator="containsText" text="n/a">
      <formula>NOT(ISERROR(SEARCH(("n/a"),(AJ1))))</formula>
    </cfRule>
  </conditionalFormatting>
  <conditionalFormatting sqref="AJ4:AJ31">
    <cfRule type="containsText" dxfId="0" priority="11" operator="containsText" text="n/a">
      <formula>NOT(ISERROR(SEARCH(("n/a"),(AJ4))))</formula>
    </cfRule>
  </conditionalFormatting>
  <conditionalFormatting sqref="AK1:AR31">
    <cfRule type="containsText" dxfId="0" priority="12" operator="containsText" text="n/a">
      <formula>NOT(ISERROR(SEARCH(("n/a"),(AK1))))</formula>
    </cfRule>
  </conditionalFormatting>
  <conditionalFormatting sqref="AT1:AY31">
    <cfRule type="containsText" dxfId="0" priority="13" operator="containsText" text="n/a">
      <formula>NOT(ISERROR(SEARCH(("n/a"),(AT1))))</formula>
    </cfRule>
  </conditionalFormatting>
  <hyperlinks>
    <hyperlink r:id="rId1" ref="AT5"/>
    <hyperlink r:id="rId2" ref="AT6"/>
    <hyperlink r:id="rId3" ref="AT7"/>
    <hyperlink r:id="rId4" ref="AT8"/>
    <hyperlink r:id="rId5" ref="AU8"/>
    <hyperlink r:id="rId6" ref="AV8"/>
    <hyperlink r:id="rId7" ref="AW8"/>
    <hyperlink r:id="rId8" ref="AX8"/>
    <hyperlink r:id="rId9" ref="AT9"/>
    <hyperlink r:id="rId10" ref="AU9"/>
    <hyperlink r:id="rId11" ref="AV9"/>
    <hyperlink r:id="rId12" ref="AT10"/>
    <hyperlink r:id="rId13" ref="AU10"/>
    <hyperlink r:id="rId14" ref="AV10"/>
    <hyperlink r:id="rId15" ref="AT11"/>
    <hyperlink r:id="rId16" ref="AU11"/>
    <hyperlink r:id="rId17" ref="AV11"/>
    <hyperlink r:id="rId18" ref="AW11"/>
    <hyperlink r:id="rId19" ref="AX11"/>
    <hyperlink r:id="rId20" ref="AT12"/>
    <hyperlink r:id="rId21" ref="AU12"/>
    <hyperlink r:id="rId22" ref="AV12"/>
    <hyperlink r:id="rId23" ref="AT13"/>
    <hyperlink r:id="rId24" ref="AU13"/>
    <hyperlink r:id="rId25" location="b3" ref="AT14"/>
    <hyperlink r:id="rId26" ref="AT15"/>
    <hyperlink r:id="rId27" ref="AU15"/>
    <hyperlink r:id="rId28" ref="AV15"/>
    <hyperlink r:id="rId29" ref="AW15"/>
    <hyperlink r:id="rId30" location="b3" ref="AT16"/>
    <hyperlink r:id="rId31" ref="AT17"/>
    <hyperlink r:id="rId32" ref="AU17"/>
    <hyperlink r:id="rId33" ref="AT18"/>
    <hyperlink r:id="rId34" ref="AT19"/>
    <hyperlink r:id="rId35" ref="AT20"/>
    <hyperlink r:id="rId36" ref="AT21"/>
    <hyperlink r:id="rId37" ref="AU21"/>
    <hyperlink r:id="rId38" ref="AV21"/>
    <hyperlink r:id="rId39" ref="AT22"/>
    <hyperlink r:id="rId40" ref="AU22"/>
    <hyperlink r:id="rId41" ref="AT23"/>
    <hyperlink r:id="rId42" ref="AU23"/>
    <hyperlink r:id="rId43" ref="AV23"/>
    <hyperlink r:id="rId44" ref="AT24"/>
    <hyperlink r:id="rId45" ref="AU24"/>
    <hyperlink r:id="rId46" ref="AT25"/>
    <hyperlink r:id="rId47" ref="AU25"/>
    <hyperlink r:id="rId48" ref="AT26"/>
    <hyperlink r:id="rId49" ref="AU26"/>
    <hyperlink r:id="rId50" ref="AV26"/>
    <hyperlink r:id="rId51" ref="AT27"/>
    <hyperlink r:id="rId52" ref="AU27"/>
    <hyperlink r:id="rId53" ref="AV27"/>
    <hyperlink r:id="rId54" ref="AW27"/>
    <hyperlink r:id="rId55" location="awesm=~oeoiRvilYDOzR6" ref="AX27"/>
    <hyperlink r:id="rId56" ref="AT30"/>
    <hyperlink r:id="rId57" ref="AU30"/>
  </hyperlinks>
  <drawing r:id="rId5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2.75"/>
  <cols>
    <col customWidth="1" min="1" max="1" width="27.75"/>
    <col customWidth="1" min="2" max="2" width="13.5"/>
    <col customWidth="1" min="3" max="8" width="9.13"/>
    <col customWidth="1" min="9" max="9" width="12.5"/>
    <col customWidth="1" min="10" max="10" width="1.25"/>
    <col customWidth="1" min="11" max="13" width="9.75"/>
    <col customWidth="1" min="14" max="14" width="12.13"/>
    <col customWidth="1" min="15" max="15" width="1.13"/>
    <col customWidth="1" min="16" max="17" width="9.13"/>
    <col customWidth="1" min="18" max="18" width="1.0"/>
    <col customWidth="1" min="19" max="20" width="11.75"/>
    <col customWidth="1" min="21" max="21" width="1.38"/>
    <col customWidth="1" min="22" max="25" width="9.0"/>
    <col customWidth="1" min="26" max="26" width="1.75"/>
    <col customWidth="1" min="27" max="27" width="21.63"/>
    <col customWidth="1" min="28" max="28" width="15.25"/>
    <col customWidth="1" min="29" max="29" width="10.5"/>
    <col customWidth="1" min="30" max="40" width="15.13"/>
  </cols>
  <sheetData>
    <row r="1">
      <c r="A1" s="191" t="s">
        <v>0</v>
      </c>
      <c r="B1" s="192" t="s">
        <v>2</v>
      </c>
      <c r="C1" s="193" t="s">
        <v>154</v>
      </c>
      <c r="D1" s="193" t="s">
        <v>155</v>
      </c>
      <c r="E1" s="194" t="s">
        <v>156</v>
      </c>
      <c r="F1" s="193" t="s">
        <v>157</v>
      </c>
      <c r="G1" s="194" t="s">
        <v>158</v>
      </c>
      <c r="H1" s="195" t="s">
        <v>159</v>
      </c>
      <c r="I1" s="192" t="s">
        <v>160</v>
      </c>
      <c r="J1" s="196"/>
      <c r="K1" s="193" t="s">
        <v>161</v>
      </c>
      <c r="L1" s="193" t="s">
        <v>162</v>
      </c>
      <c r="M1" s="193" t="s">
        <v>163</v>
      </c>
      <c r="N1" s="192" t="s">
        <v>164</v>
      </c>
      <c r="O1" s="196"/>
      <c r="P1" s="197" t="s">
        <v>165</v>
      </c>
      <c r="Q1" s="193" t="s">
        <v>166</v>
      </c>
      <c r="R1" s="196"/>
      <c r="S1" s="191" t="s">
        <v>167</v>
      </c>
      <c r="T1" s="191" t="s">
        <v>168</v>
      </c>
      <c r="U1" s="196"/>
      <c r="V1" s="193" t="s">
        <v>38</v>
      </c>
      <c r="W1" s="193" t="s">
        <v>39</v>
      </c>
      <c r="X1" s="193" t="s">
        <v>169</v>
      </c>
      <c r="Y1" s="193" t="s">
        <v>170</v>
      </c>
      <c r="Z1" s="198"/>
      <c r="AA1" s="193" t="s">
        <v>42</v>
      </c>
      <c r="AB1" s="199" t="s">
        <v>171</v>
      </c>
      <c r="AC1" s="200" t="s">
        <v>172</v>
      </c>
      <c r="AD1" s="153"/>
      <c r="AE1" s="153"/>
      <c r="AF1" s="153"/>
      <c r="AG1" s="153"/>
      <c r="AH1" s="153"/>
      <c r="AI1" s="153"/>
      <c r="AJ1" s="153"/>
      <c r="AK1" s="153"/>
      <c r="AL1" s="153"/>
      <c r="AM1" s="153"/>
      <c r="AN1" s="153"/>
    </row>
    <row r="2">
      <c r="A2" s="201"/>
      <c r="B2" s="202"/>
      <c r="C2" s="203" t="s">
        <v>48</v>
      </c>
      <c r="D2" s="74" t="s">
        <v>49</v>
      </c>
      <c r="E2" s="204" t="s">
        <v>48</v>
      </c>
      <c r="F2" s="74" t="s">
        <v>173</v>
      </c>
      <c r="G2" s="205" t="s">
        <v>174</v>
      </c>
      <c r="H2" s="206"/>
      <c r="I2" s="207" t="s">
        <v>175</v>
      </c>
      <c r="J2" s="208"/>
      <c r="K2" s="209" t="s">
        <v>49</v>
      </c>
      <c r="L2" s="203" t="s">
        <v>48</v>
      </c>
      <c r="M2" s="203" t="s">
        <v>48</v>
      </c>
      <c r="N2" s="207" t="s">
        <v>175</v>
      </c>
      <c r="O2" s="208"/>
      <c r="P2" s="210"/>
      <c r="Q2" s="203" t="s">
        <v>176</v>
      </c>
      <c r="R2" s="211"/>
      <c r="S2" s="212" t="s">
        <v>53</v>
      </c>
      <c r="T2" s="212" t="s">
        <v>53</v>
      </c>
      <c r="U2" s="211"/>
      <c r="V2" s="203" t="s">
        <v>48</v>
      </c>
      <c r="W2" s="203" t="s">
        <v>48</v>
      </c>
      <c r="X2" s="213"/>
      <c r="Y2" s="213"/>
      <c r="Z2" s="214"/>
      <c r="AA2" s="213"/>
      <c r="AB2" s="215"/>
      <c r="AC2" s="216" t="s">
        <v>177</v>
      </c>
      <c r="AD2" s="217"/>
      <c r="AE2" s="217"/>
      <c r="AF2" s="217"/>
      <c r="AG2" s="217"/>
      <c r="AH2" s="217"/>
      <c r="AI2" s="217"/>
      <c r="AJ2" s="217"/>
      <c r="AK2" s="217"/>
      <c r="AL2" s="217"/>
      <c r="AM2" s="217"/>
      <c r="AN2" s="217"/>
    </row>
    <row r="3">
      <c r="A3" s="218" t="s">
        <v>178</v>
      </c>
      <c r="B3" s="207" t="s">
        <v>56</v>
      </c>
      <c r="C3" s="134">
        <v>9.99</v>
      </c>
      <c r="D3" s="219">
        <v>0.0</v>
      </c>
      <c r="E3" s="204">
        <v>0.0</v>
      </c>
      <c r="F3" s="219">
        <v>0.81</v>
      </c>
      <c r="G3" s="220">
        <f t="shared" ref="G3:G4" si="1">C3*F3</f>
        <v>8.0919</v>
      </c>
      <c r="H3" s="206">
        <f t="shared" ref="H3:H14" si="2">SUM(G3/C3)</f>
        <v>0.81</v>
      </c>
      <c r="I3" s="221">
        <f t="shared" ref="I3:I20" si="3">SUM(1160/G3)</f>
        <v>143.3532298</v>
      </c>
      <c r="J3" s="208"/>
      <c r="K3" s="222"/>
      <c r="L3" s="213"/>
      <c r="M3" s="213"/>
      <c r="N3" s="221"/>
      <c r="O3" s="223"/>
      <c r="P3" s="210">
        <f t="shared" ref="P3:P4" si="4">SUM(100/G3)</f>
        <v>12.35803705</v>
      </c>
      <c r="Q3" s="210">
        <f t="shared" ref="Q3:Q16" si="5">SUM(13920/G3)</f>
        <v>1720.238757</v>
      </c>
      <c r="R3" s="223"/>
      <c r="S3" s="224">
        <f t="shared" ref="S3:S8" si="6">SUM(I3*4)</f>
        <v>573.4129191</v>
      </c>
      <c r="T3" s="224">
        <f t="shared" ref="T3:T8" si="7">SUM(S3*12)</f>
        <v>6880.955029</v>
      </c>
      <c r="U3" s="208"/>
      <c r="V3" s="213"/>
      <c r="W3" s="213"/>
      <c r="X3" s="213"/>
      <c r="Y3" s="213"/>
      <c r="Z3" s="214"/>
      <c r="AA3" s="213"/>
      <c r="AB3" s="120" t="s">
        <v>179</v>
      </c>
      <c r="AC3" s="225">
        <f t="shared" ref="AC3:AC20" si="8">SQRT(I3)</f>
        <v>11.97302091</v>
      </c>
      <c r="AD3" s="226"/>
      <c r="AE3" s="226"/>
      <c r="AF3" s="226"/>
      <c r="AG3" s="226"/>
      <c r="AH3" s="226"/>
      <c r="AI3" s="226"/>
      <c r="AJ3" s="226"/>
      <c r="AK3" s="226"/>
      <c r="AL3" s="226"/>
      <c r="AM3" s="226"/>
      <c r="AN3" s="226"/>
    </row>
    <row r="4">
      <c r="A4" s="218" t="s">
        <v>59</v>
      </c>
      <c r="B4" s="207" t="s">
        <v>96</v>
      </c>
      <c r="C4" s="134">
        <v>9.99</v>
      </c>
      <c r="D4" s="219">
        <v>0.0</v>
      </c>
      <c r="E4" s="204">
        <v>0.0</v>
      </c>
      <c r="F4" s="219">
        <v>0.75</v>
      </c>
      <c r="G4" s="220">
        <f t="shared" si="1"/>
        <v>7.4925</v>
      </c>
      <c r="H4" s="206">
        <f t="shared" si="2"/>
        <v>0.75</v>
      </c>
      <c r="I4" s="221">
        <f t="shared" si="3"/>
        <v>154.8214882</v>
      </c>
      <c r="J4" s="208"/>
      <c r="K4" s="222"/>
      <c r="L4" s="213"/>
      <c r="M4" s="213"/>
      <c r="N4" s="221"/>
      <c r="O4" s="223"/>
      <c r="P4" s="210">
        <f t="shared" si="4"/>
        <v>13.34668001</v>
      </c>
      <c r="Q4" s="210">
        <f t="shared" si="5"/>
        <v>1857.857858</v>
      </c>
      <c r="R4" s="223"/>
      <c r="S4" s="224">
        <f t="shared" si="6"/>
        <v>619.2859526</v>
      </c>
      <c r="T4" s="224">
        <f t="shared" si="7"/>
        <v>7431.431431</v>
      </c>
      <c r="U4" s="208"/>
      <c r="V4" s="213"/>
      <c r="W4" s="213"/>
      <c r="X4" s="213"/>
      <c r="Y4" s="213"/>
      <c r="Z4" s="214"/>
      <c r="AA4" s="213"/>
      <c r="AB4" s="120" t="s">
        <v>180</v>
      </c>
      <c r="AC4" s="225">
        <f t="shared" si="8"/>
        <v>12.44272832</v>
      </c>
      <c r="AD4" s="226"/>
      <c r="AE4" s="226"/>
      <c r="AF4" s="226"/>
      <c r="AG4" s="226"/>
      <c r="AH4" s="226"/>
      <c r="AI4" s="226"/>
      <c r="AJ4" s="226"/>
      <c r="AK4" s="226"/>
      <c r="AL4" s="226"/>
      <c r="AM4" s="226"/>
      <c r="AN4" s="226"/>
    </row>
    <row r="5">
      <c r="A5" s="218" t="s">
        <v>62</v>
      </c>
      <c r="B5" s="207" t="s">
        <v>56</v>
      </c>
      <c r="C5" s="134">
        <v>9.99</v>
      </c>
      <c r="D5" s="219">
        <v>0.2</v>
      </c>
      <c r="E5" s="227">
        <f t="shared" ref="E5:E14" si="9">C5*D5</f>
        <v>1.998</v>
      </c>
      <c r="F5" s="219">
        <v>0.5</v>
      </c>
      <c r="G5" s="220">
        <f t="shared" ref="G5:G7" si="10">E5*F5</f>
        <v>0.999</v>
      </c>
      <c r="H5" s="206">
        <f t="shared" si="2"/>
        <v>0.1</v>
      </c>
      <c r="I5" s="221">
        <f t="shared" si="3"/>
        <v>1161.161161</v>
      </c>
      <c r="J5" s="208"/>
      <c r="K5" s="209">
        <v>5.0</v>
      </c>
      <c r="L5" s="228">
        <f t="shared" ref="L5:L7" si="11">SUM(C5*(K5/100))</f>
        <v>0.4995</v>
      </c>
      <c r="M5" s="228">
        <f t="shared" ref="M5:M7" si="12">SUM(L5/2)</f>
        <v>0.24975</v>
      </c>
      <c r="N5" s="221">
        <f t="shared" ref="N5:N7" si="13">SUM(1160/(G5+M5))</f>
        <v>928.9289289</v>
      </c>
      <c r="O5" s="223"/>
      <c r="P5" s="210">
        <f>100/G5</f>
        <v>100.1001001</v>
      </c>
      <c r="Q5" s="210">
        <f t="shared" si="5"/>
        <v>13933.93393</v>
      </c>
      <c r="R5" s="223"/>
      <c r="S5" s="224">
        <f t="shared" si="6"/>
        <v>4644.644645</v>
      </c>
      <c r="T5" s="224">
        <f t="shared" si="7"/>
        <v>55735.73574</v>
      </c>
      <c r="U5" s="208"/>
      <c r="V5" s="213"/>
      <c r="W5" s="213"/>
      <c r="X5" s="213"/>
      <c r="Y5" s="213"/>
      <c r="Z5" s="214"/>
      <c r="AA5" s="213"/>
      <c r="AB5" s="120" t="s">
        <v>181</v>
      </c>
      <c r="AC5" s="225">
        <f t="shared" si="8"/>
        <v>34.0758149</v>
      </c>
      <c r="AD5" s="226"/>
      <c r="AE5" s="226"/>
      <c r="AF5" s="226"/>
      <c r="AG5" s="226"/>
      <c r="AH5" s="226"/>
      <c r="AI5" s="226"/>
      <c r="AJ5" s="226"/>
      <c r="AK5" s="226"/>
      <c r="AL5" s="226"/>
      <c r="AM5" s="226"/>
      <c r="AN5" s="226"/>
    </row>
    <row r="6">
      <c r="A6" s="218" t="s">
        <v>182</v>
      </c>
      <c r="B6" s="207" t="s">
        <v>96</v>
      </c>
      <c r="C6" s="134">
        <v>9.99</v>
      </c>
      <c r="D6" s="219">
        <v>0.63</v>
      </c>
      <c r="E6" s="227">
        <f t="shared" si="9"/>
        <v>6.2937</v>
      </c>
      <c r="F6" s="219">
        <v>0.15</v>
      </c>
      <c r="G6" s="220">
        <f t="shared" si="10"/>
        <v>0.944055</v>
      </c>
      <c r="H6" s="206">
        <f t="shared" si="2"/>
        <v>0.0945</v>
      </c>
      <c r="I6" s="221">
        <f t="shared" si="3"/>
        <v>1228.741969</v>
      </c>
      <c r="J6" s="208"/>
      <c r="K6" s="209">
        <v>5.0</v>
      </c>
      <c r="L6" s="228">
        <f t="shared" si="11"/>
        <v>0.4995</v>
      </c>
      <c r="M6" s="228">
        <f t="shared" si="12"/>
        <v>0.24975</v>
      </c>
      <c r="N6" s="221">
        <f t="shared" si="13"/>
        <v>971.6829801</v>
      </c>
      <c r="O6" s="223"/>
      <c r="P6" s="210">
        <f>100/6.37</f>
        <v>15.69858713</v>
      </c>
      <c r="Q6" s="210">
        <f t="shared" si="5"/>
        <v>14744.90363</v>
      </c>
      <c r="R6" s="223"/>
      <c r="S6" s="224">
        <f t="shared" si="6"/>
        <v>4914.967878</v>
      </c>
      <c r="T6" s="224">
        <f t="shared" si="7"/>
        <v>58979.61454</v>
      </c>
      <c r="U6" s="208"/>
      <c r="V6" s="213"/>
      <c r="W6" s="213"/>
      <c r="X6" s="213"/>
      <c r="Y6" s="213"/>
      <c r="Z6" s="214"/>
      <c r="AA6" s="213"/>
      <c r="AB6" s="120" t="s">
        <v>179</v>
      </c>
      <c r="AC6" s="225">
        <f t="shared" si="8"/>
        <v>35.05341595</v>
      </c>
      <c r="AD6" s="226"/>
      <c r="AE6" s="226"/>
      <c r="AF6" s="226"/>
      <c r="AG6" s="226"/>
      <c r="AH6" s="226"/>
      <c r="AI6" s="226"/>
      <c r="AJ6" s="226"/>
      <c r="AK6" s="226"/>
      <c r="AL6" s="226"/>
      <c r="AM6" s="226"/>
      <c r="AN6" s="226"/>
    </row>
    <row r="7">
      <c r="A7" s="218" t="s">
        <v>87</v>
      </c>
      <c r="B7" s="207" t="s">
        <v>96</v>
      </c>
      <c r="C7" s="134">
        <v>9.99</v>
      </c>
      <c r="D7" s="219">
        <v>0.63</v>
      </c>
      <c r="E7" s="227">
        <f t="shared" si="9"/>
        <v>6.2937</v>
      </c>
      <c r="F7" s="219">
        <v>0.15</v>
      </c>
      <c r="G7" s="220">
        <f t="shared" si="10"/>
        <v>0.944055</v>
      </c>
      <c r="H7" s="206">
        <f t="shared" si="2"/>
        <v>0.0945</v>
      </c>
      <c r="I7" s="221">
        <f t="shared" si="3"/>
        <v>1228.741969</v>
      </c>
      <c r="J7" s="208"/>
      <c r="K7" s="209">
        <v>9.1</v>
      </c>
      <c r="L7" s="228">
        <f t="shared" si="11"/>
        <v>0.90909</v>
      </c>
      <c r="M7" s="228">
        <f t="shared" si="12"/>
        <v>0.454545</v>
      </c>
      <c r="N7" s="221">
        <f t="shared" si="13"/>
        <v>829.4008294</v>
      </c>
      <c r="O7" s="223"/>
      <c r="P7" s="210">
        <f t="shared" ref="P7:P9" si="14">SUM(100/G7)</f>
        <v>105.9260319</v>
      </c>
      <c r="Q7" s="210">
        <f t="shared" si="5"/>
        <v>14744.90363</v>
      </c>
      <c r="R7" s="223"/>
      <c r="S7" s="224">
        <f t="shared" si="6"/>
        <v>4914.967878</v>
      </c>
      <c r="T7" s="224">
        <f t="shared" si="7"/>
        <v>58979.61454</v>
      </c>
      <c r="U7" s="208"/>
      <c r="V7" s="213"/>
      <c r="W7" s="213"/>
      <c r="X7" s="213"/>
      <c r="Y7" s="213"/>
      <c r="Z7" s="214"/>
      <c r="AA7" s="213"/>
      <c r="AB7" s="215"/>
      <c r="AC7" s="225">
        <f t="shared" si="8"/>
        <v>35.05341595</v>
      </c>
      <c r="AD7" s="226"/>
      <c r="AE7" s="226"/>
      <c r="AF7" s="226"/>
      <c r="AG7" s="226"/>
      <c r="AH7" s="226"/>
      <c r="AI7" s="226"/>
      <c r="AJ7" s="226"/>
      <c r="AK7" s="226"/>
      <c r="AL7" s="226"/>
      <c r="AM7" s="226"/>
      <c r="AN7" s="226"/>
    </row>
    <row r="8">
      <c r="A8" s="218" t="s">
        <v>59</v>
      </c>
      <c r="B8" s="207" t="s">
        <v>183</v>
      </c>
      <c r="C8" s="134">
        <v>0.99</v>
      </c>
      <c r="D8" s="219">
        <v>0.0</v>
      </c>
      <c r="E8" s="227">
        <f t="shared" si="9"/>
        <v>0</v>
      </c>
      <c r="F8" s="219">
        <v>0.75</v>
      </c>
      <c r="G8" s="220">
        <f>C8*F8</f>
        <v>0.7425</v>
      </c>
      <c r="H8" s="206">
        <f t="shared" si="2"/>
        <v>0.75</v>
      </c>
      <c r="I8" s="221">
        <f t="shared" si="3"/>
        <v>1562.289562</v>
      </c>
      <c r="J8" s="208"/>
      <c r="K8" s="222"/>
      <c r="L8" s="228"/>
      <c r="M8" s="228"/>
      <c r="N8" s="221"/>
      <c r="O8" s="223"/>
      <c r="P8" s="210">
        <f t="shared" si="14"/>
        <v>134.6801347</v>
      </c>
      <c r="Q8" s="210">
        <f t="shared" si="5"/>
        <v>18747.47475</v>
      </c>
      <c r="R8" s="223"/>
      <c r="S8" s="224">
        <f t="shared" si="6"/>
        <v>6249.158249</v>
      </c>
      <c r="T8" s="224">
        <f t="shared" si="7"/>
        <v>74989.89899</v>
      </c>
      <c r="U8" s="208"/>
      <c r="V8" s="213"/>
      <c r="W8" s="213"/>
      <c r="X8" s="213"/>
      <c r="Y8" s="213"/>
      <c r="Z8" s="214"/>
      <c r="AA8" s="213"/>
      <c r="AB8" s="120" t="s">
        <v>180</v>
      </c>
      <c r="AC8" s="225">
        <f t="shared" si="8"/>
        <v>39.52580881</v>
      </c>
      <c r="AD8" s="226"/>
      <c r="AE8" s="226"/>
      <c r="AF8" s="226"/>
      <c r="AG8" s="226"/>
      <c r="AH8" s="226"/>
      <c r="AI8" s="226"/>
      <c r="AJ8" s="226"/>
      <c r="AK8" s="226"/>
      <c r="AL8" s="226"/>
      <c r="AM8" s="226"/>
      <c r="AN8" s="226"/>
    </row>
    <row r="9">
      <c r="A9" s="218" t="s">
        <v>184</v>
      </c>
      <c r="B9" s="207" t="s">
        <v>183</v>
      </c>
      <c r="C9" s="134">
        <v>0.99</v>
      </c>
      <c r="D9" s="219">
        <v>0.63</v>
      </c>
      <c r="E9" s="227">
        <f t="shared" si="9"/>
        <v>0.6237</v>
      </c>
      <c r="F9" s="219">
        <v>0.91</v>
      </c>
      <c r="G9" s="220">
        <f t="shared" ref="G9:G17" si="15">E9*F9</f>
        <v>0.567567</v>
      </c>
      <c r="H9" s="206">
        <f t="shared" si="2"/>
        <v>0.5733</v>
      </c>
      <c r="I9" s="221">
        <f t="shared" si="3"/>
        <v>2043.811568</v>
      </c>
      <c r="J9" s="208"/>
      <c r="K9" s="222"/>
      <c r="L9" s="228"/>
      <c r="M9" s="228"/>
      <c r="N9" s="221"/>
      <c r="O9" s="223"/>
      <c r="P9" s="210">
        <f t="shared" si="14"/>
        <v>176.1906524</v>
      </c>
      <c r="Q9" s="210">
        <f t="shared" si="5"/>
        <v>24525.73881</v>
      </c>
      <c r="R9" s="223"/>
      <c r="S9" s="224"/>
      <c r="T9" s="224"/>
      <c r="U9" s="208"/>
      <c r="V9" s="213"/>
      <c r="W9" s="213"/>
      <c r="X9" s="213"/>
      <c r="Y9" s="213"/>
      <c r="Z9" s="214"/>
      <c r="AA9" s="213"/>
      <c r="AB9" s="120" t="s">
        <v>180</v>
      </c>
      <c r="AC9" s="225">
        <f t="shared" si="8"/>
        <v>45.20853423</v>
      </c>
      <c r="AD9" s="226"/>
      <c r="AE9" s="226"/>
      <c r="AF9" s="226"/>
      <c r="AG9" s="226"/>
      <c r="AH9" s="226"/>
      <c r="AI9" s="226"/>
      <c r="AJ9" s="226"/>
      <c r="AK9" s="226"/>
      <c r="AL9" s="226"/>
      <c r="AM9" s="226"/>
      <c r="AN9" s="226"/>
    </row>
    <row r="10">
      <c r="A10" s="218" t="s">
        <v>185</v>
      </c>
      <c r="B10" s="207" t="s">
        <v>186</v>
      </c>
      <c r="C10" s="134">
        <v>4.99</v>
      </c>
      <c r="D10" s="219">
        <v>0.2</v>
      </c>
      <c r="E10" s="227">
        <f t="shared" si="9"/>
        <v>0.998</v>
      </c>
      <c r="F10" s="219">
        <v>0.5</v>
      </c>
      <c r="G10" s="220">
        <f t="shared" si="15"/>
        <v>0.499</v>
      </c>
      <c r="H10" s="206">
        <f t="shared" si="2"/>
        <v>0.1</v>
      </c>
      <c r="I10" s="221">
        <f t="shared" si="3"/>
        <v>2324.649299</v>
      </c>
      <c r="J10" s="208"/>
      <c r="K10" s="209">
        <v>5.0</v>
      </c>
      <c r="L10" s="228">
        <f t="shared" ref="L10:L14" si="16">SUM(C10*(K10/100))</f>
        <v>0.2495</v>
      </c>
      <c r="M10" s="228">
        <f t="shared" ref="M10:M20" si="17">SUM(L10/2)</f>
        <v>0.12475</v>
      </c>
      <c r="N10" s="221">
        <f t="shared" ref="N10:N16" si="18">SUM(1160/(G10+M10))</f>
        <v>1859.719439</v>
      </c>
      <c r="O10" s="223"/>
      <c r="P10" s="210">
        <f t="shared" ref="P10:P12" si="19">100/G10</f>
        <v>200.4008016</v>
      </c>
      <c r="Q10" s="210">
        <f t="shared" si="5"/>
        <v>27895.79158</v>
      </c>
      <c r="R10" s="223"/>
      <c r="S10" s="224">
        <f t="shared" ref="S10:S16" si="20">SUM(I10*4)</f>
        <v>9298.597194</v>
      </c>
      <c r="T10" s="224">
        <f t="shared" ref="T10:T16" si="21">SUM(S10*12)</f>
        <v>111583.1663</v>
      </c>
      <c r="U10" s="208"/>
      <c r="V10" s="213"/>
      <c r="W10" s="213"/>
      <c r="X10" s="213"/>
      <c r="Y10" s="213"/>
      <c r="Z10" s="214"/>
      <c r="AA10" s="213"/>
      <c r="AB10" s="120" t="s">
        <v>181</v>
      </c>
      <c r="AC10" s="225">
        <f t="shared" si="8"/>
        <v>48.21461706</v>
      </c>
      <c r="AD10" s="226"/>
      <c r="AE10" s="226"/>
      <c r="AF10" s="226"/>
      <c r="AG10" s="226"/>
      <c r="AH10" s="226"/>
      <c r="AI10" s="226"/>
      <c r="AJ10" s="226"/>
      <c r="AK10" s="226"/>
      <c r="AL10" s="226"/>
      <c r="AM10" s="226"/>
      <c r="AN10" s="226"/>
    </row>
    <row r="11">
      <c r="A11" s="218" t="s">
        <v>67</v>
      </c>
      <c r="B11" s="207" t="s">
        <v>56</v>
      </c>
      <c r="C11" s="134">
        <v>9.99</v>
      </c>
      <c r="D11" s="219">
        <v>0.2</v>
      </c>
      <c r="E11" s="227">
        <f t="shared" si="9"/>
        <v>1.998</v>
      </c>
      <c r="F11" s="219">
        <v>0.15</v>
      </c>
      <c r="G11" s="220">
        <f t="shared" si="15"/>
        <v>0.2997</v>
      </c>
      <c r="H11" s="206">
        <f t="shared" si="2"/>
        <v>0.03</v>
      </c>
      <c r="I11" s="221">
        <f t="shared" si="3"/>
        <v>3870.537204</v>
      </c>
      <c r="J11" s="208"/>
      <c r="K11" s="209">
        <v>5.0</v>
      </c>
      <c r="L11" s="228">
        <f t="shared" si="16"/>
        <v>0.4995</v>
      </c>
      <c r="M11" s="228">
        <f t="shared" si="17"/>
        <v>0.24975</v>
      </c>
      <c r="N11" s="221">
        <f t="shared" si="18"/>
        <v>2111.202111</v>
      </c>
      <c r="O11" s="223"/>
      <c r="P11" s="210">
        <f t="shared" si="19"/>
        <v>333.6670003</v>
      </c>
      <c r="Q11" s="210">
        <f t="shared" si="5"/>
        <v>46446.44645</v>
      </c>
      <c r="R11" s="223"/>
      <c r="S11" s="224">
        <f t="shared" si="20"/>
        <v>15482.14882</v>
      </c>
      <c r="T11" s="224">
        <f t="shared" si="21"/>
        <v>185785.7858</v>
      </c>
      <c r="U11" s="208"/>
      <c r="V11" s="213"/>
      <c r="W11" s="213"/>
      <c r="X11" s="213"/>
      <c r="Y11" s="213"/>
      <c r="Z11" s="214"/>
      <c r="AA11" s="213"/>
      <c r="AB11" s="120" t="s">
        <v>181</v>
      </c>
      <c r="AC11" s="225">
        <f t="shared" si="8"/>
        <v>62.21364162</v>
      </c>
      <c r="AD11" s="226"/>
      <c r="AE11" s="226"/>
      <c r="AF11" s="226"/>
      <c r="AG11" s="226"/>
      <c r="AH11" s="226"/>
      <c r="AI11" s="226"/>
      <c r="AJ11" s="226"/>
      <c r="AK11" s="226"/>
      <c r="AL11" s="226"/>
      <c r="AM11" s="226"/>
      <c r="AN11" s="226"/>
    </row>
    <row r="12">
      <c r="A12" s="218" t="s">
        <v>187</v>
      </c>
      <c r="B12" s="207" t="s">
        <v>186</v>
      </c>
      <c r="C12" s="134">
        <v>4.99</v>
      </c>
      <c r="D12" s="219">
        <v>0.2</v>
      </c>
      <c r="E12" s="227">
        <f t="shared" si="9"/>
        <v>0.998</v>
      </c>
      <c r="F12" s="219">
        <v>0.15</v>
      </c>
      <c r="G12" s="220">
        <f t="shared" si="15"/>
        <v>0.1497</v>
      </c>
      <c r="H12" s="206">
        <f t="shared" si="2"/>
        <v>0.03</v>
      </c>
      <c r="I12" s="221">
        <f t="shared" si="3"/>
        <v>7748.830995</v>
      </c>
      <c r="J12" s="208"/>
      <c r="K12" s="209">
        <v>5.0</v>
      </c>
      <c r="L12" s="228">
        <f t="shared" si="16"/>
        <v>0.2495</v>
      </c>
      <c r="M12" s="228">
        <f t="shared" si="17"/>
        <v>0.12475</v>
      </c>
      <c r="N12" s="221">
        <f t="shared" si="18"/>
        <v>4226.635088</v>
      </c>
      <c r="O12" s="223"/>
      <c r="P12" s="210">
        <f t="shared" si="19"/>
        <v>668.002672</v>
      </c>
      <c r="Q12" s="210">
        <f t="shared" si="5"/>
        <v>92985.97194</v>
      </c>
      <c r="R12" s="223"/>
      <c r="S12" s="224">
        <f t="shared" si="20"/>
        <v>30995.32398</v>
      </c>
      <c r="T12" s="224">
        <f t="shared" si="21"/>
        <v>371943.8878</v>
      </c>
      <c r="U12" s="208"/>
      <c r="V12" s="213"/>
      <c r="W12" s="213"/>
      <c r="X12" s="213"/>
      <c r="Y12" s="213"/>
      <c r="Z12" s="214"/>
      <c r="AA12" s="213"/>
      <c r="AB12" s="120" t="s">
        <v>181</v>
      </c>
      <c r="AC12" s="225">
        <f t="shared" si="8"/>
        <v>88.02744456</v>
      </c>
      <c r="AD12" s="226"/>
      <c r="AE12" s="226"/>
      <c r="AF12" s="226"/>
      <c r="AG12" s="226"/>
      <c r="AH12" s="226"/>
      <c r="AI12" s="226"/>
      <c r="AJ12" s="226"/>
      <c r="AK12" s="226"/>
      <c r="AL12" s="226"/>
      <c r="AM12" s="226"/>
      <c r="AN12" s="226"/>
    </row>
    <row r="13">
      <c r="A13" s="218" t="s">
        <v>69</v>
      </c>
      <c r="B13" s="207" t="s">
        <v>183</v>
      </c>
      <c r="C13" s="134">
        <v>0.99</v>
      </c>
      <c r="D13" s="219">
        <v>0.63</v>
      </c>
      <c r="E13" s="227">
        <f t="shared" si="9"/>
        <v>0.6237</v>
      </c>
      <c r="F13" s="219">
        <v>0.15</v>
      </c>
      <c r="G13" s="220">
        <f t="shared" si="15"/>
        <v>0.093555</v>
      </c>
      <c r="H13" s="206">
        <f t="shared" si="2"/>
        <v>0.0945</v>
      </c>
      <c r="I13" s="221">
        <f t="shared" si="3"/>
        <v>12399.12351</v>
      </c>
      <c r="J13" s="208"/>
      <c r="K13" s="209">
        <v>9.1</v>
      </c>
      <c r="L13" s="228">
        <f t="shared" si="16"/>
        <v>0.09009</v>
      </c>
      <c r="M13" s="228">
        <f t="shared" si="17"/>
        <v>0.045045</v>
      </c>
      <c r="N13" s="221">
        <f t="shared" si="18"/>
        <v>8369.408369</v>
      </c>
      <c r="O13" s="223"/>
      <c r="P13" s="210">
        <f t="shared" ref="P13:P14" si="22">SUM(100/G13)</f>
        <v>1068.889958</v>
      </c>
      <c r="Q13" s="210">
        <f t="shared" si="5"/>
        <v>148789.4821</v>
      </c>
      <c r="R13" s="223"/>
      <c r="S13" s="224">
        <f t="shared" si="20"/>
        <v>49596.49404</v>
      </c>
      <c r="T13" s="224">
        <f t="shared" si="21"/>
        <v>595157.9285</v>
      </c>
      <c r="U13" s="208"/>
      <c r="V13" s="213"/>
      <c r="W13" s="213"/>
      <c r="X13" s="213"/>
      <c r="Y13" s="213"/>
      <c r="Z13" s="214"/>
      <c r="AA13" s="213"/>
      <c r="AB13" s="120" t="s">
        <v>179</v>
      </c>
      <c r="AC13" s="225">
        <f t="shared" si="8"/>
        <v>111.3513516</v>
      </c>
      <c r="AD13" s="226"/>
      <c r="AE13" s="226"/>
      <c r="AF13" s="226"/>
      <c r="AG13" s="226"/>
      <c r="AH13" s="226"/>
      <c r="AI13" s="226"/>
      <c r="AJ13" s="226"/>
      <c r="AK13" s="226"/>
      <c r="AL13" s="226"/>
      <c r="AM13" s="226"/>
      <c r="AN13" s="226"/>
    </row>
    <row r="14">
      <c r="A14" s="218" t="s">
        <v>87</v>
      </c>
      <c r="B14" s="207" t="s">
        <v>183</v>
      </c>
      <c r="C14" s="134">
        <v>0.99</v>
      </c>
      <c r="D14" s="219">
        <v>0.63</v>
      </c>
      <c r="E14" s="227">
        <f t="shared" si="9"/>
        <v>0.6237</v>
      </c>
      <c r="F14" s="219">
        <v>0.15</v>
      </c>
      <c r="G14" s="220">
        <f t="shared" si="15"/>
        <v>0.093555</v>
      </c>
      <c r="H14" s="206">
        <f t="shared" si="2"/>
        <v>0.0945</v>
      </c>
      <c r="I14" s="221">
        <f t="shared" si="3"/>
        <v>12399.12351</v>
      </c>
      <c r="J14" s="208"/>
      <c r="K14" s="209">
        <v>9.1</v>
      </c>
      <c r="L14" s="228">
        <f t="shared" si="16"/>
        <v>0.09009</v>
      </c>
      <c r="M14" s="228">
        <f t="shared" si="17"/>
        <v>0.045045</v>
      </c>
      <c r="N14" s="221">
        <f t="shared" si="18"/>
        <v>8369.408369</v>
      </c>
      <c r="O14" s="223"/>
      <c r="P14" s="210">
        <f t="shared" si="22"/>
        <v>1068.889958</v>
      </c>
      <c r="Q14" s="210">
        <f t="shared" si="5"/>
        <v>148789.4821</v>
      </c>
      <c r="R14" s="223"/>
      <c r="S14" s="224">
        <f t="shared" si="20"/>
        <v>49596.49404</v>
      </c>
      <c r="T14" s="224">
        <f t="shared" si="21"/>
        <v>595157.9285</v>
      </c>
      <c r="U14" s="208"/>
      <c r="V14" s="213"/>
      <c r="W14" s="213"/>
      <c r="X14" s="213"/>
      <c r="Y14" s="213"/>
      <c r="Z14" s="214"/>
      <c r="AA14" s="213"/>
      <c r="AB14" s="120" t="s">
        <v>179</v>
      </c>
      <c r="AC14" s="225">
        <f t="shared" si="8"/>
        <v>111.3513516</v>
      </c>
      <c r="AD14" s="226"/>
      <c r="AE14" s="226"/>
      <c r="AF14" s="226"/>
      <c r="AG14" s="226"/>
      <c r="AH14" s="226"/>
      <c r="AI14" s="226"/>
      <c r="AJ14" s="226"/>
      <c r="AK14" s="226"/>
      <c r="AL14" s="226"/>
      <c r="AM14" s="226"/>
      <c r="AN14" s="226"/>
    </row>
    <row r="15">
      <c r="A15" s="218" t="s">
        <v>188</v>
      </c>
      <c r="B15" s="207" t="s">
        <v>189</v>
      </c>
      <c r="C15" s="74" t="s">
        <v>57</v>
      </c>
      <c r="D15" s="74" t="s">
        <v>190</v>
      </c>
      <c r="E15" s="204">
        <v>0.0091</v>
      </c>
      <c r="F15" s="219">
        <v>1.0</v>
      </c>
      <c r="G15" s="220">
        <f t="shared" si="15"/>
        <v>0.0091</v>
      </c>
      <c r="H15" s="229" t="s">
        <v>57</v>
      </c>
      <c r="I15" s="221">
        <f t="shared" si="3"/>
        <v>127472.5275</v>
      </c>
      <c r="J15" s="208"/>
      <c r="K15" s="209">
        <v>10.5</v>
      </c>
      <c r="L15" s="230">
        <v>0.0013</v>
      </c>
      <c r="M15" s="231">
        <f t="shared" si="17"/>
        <v>0.00065</v>
      </c>
      <c r="N15" s="221">
        <f t="shared" si="18"/>
        <v>118974.359</v>
      </c>
      <c r="O15" s="223"/>
      <c r="P15" s="210">
        <f t="shared" ref="P15:P16" si="23">SUM(1000/E15)</f>
        <v>109890.1099</v>
      </c>
      <c r="Q15" s="210">
        <f t="shared" si="5"/>
        <v>1529670.33</v>
      </c>
      <c r="R15" s="223"/>
      <c r="S15" s="224">
        <f t="shared" si="20"/>
        <v>509890.1099</v>
      </c>
      <c r="T15" s="224">
        <f t="shared" si="21"/>
        <v>6118681.319</v>
      </c>
      <c r="U15" s="208"/>
      <c r="V15" s="203">
        <v>12.99</v>
      </c>
      <c r="W15" s="232">
        <f t="shared" ref="W15:W16" si="24">SUM(V15*12)</f>
        <v>155.88</v>
      </c>
      <c r="X15" s="210">
        <f t="shared" ref="X15:X16" si="25">SUM(V15/E15)</f>
        <v>1427.472527</v>
      </c>
      <c r="Y15" s="210">
        <f t="shared" ref="Y15:Y16" si="26">SUM(X15*12)</f>
        <v>17129.67033</v>
      </c>
      <c r="Z15" s="214"/>
      <c r="AA15" s="213"/>
      <c r="AB15" s="215"/>
      <c r="AC15" s="225">
        <f t="shared" si="8"/>
        <v>357.0329501</v>
      </c>
      <c r="AD15" s="226"/>
      <c r="AE15" s="226"/>
      <c r="AF15" s="226"/>
      <c r="AG15" s="226"/>
      <c r="AH15" s="226"/>
      <c r="AI15" s="226"/>
      <c r="AJ15" s="226"/>
      <c r="AK15" s="226"/>
      <c r="AL15" s="226"/>
      <c r="AM15" s="226"/>
      <c r="AN15" s="226"/>
    </row>
    <row r="16">
      <c r="A16" s="218" t="s">
        <v>191</v>
      </c>
      <c r="B16" s="207" t="s">
        <v>189</v>
      </c>
      <c r="C16" s="74" t="s">
        <v>57</v>
      </c>
      <c r="D16" s="74" t="s">
        <v>190</v>
      </c>
      <c r="E16" s="204">
        <v>0.0091</v>
      </c>
      <c r="F16" s="219">
        <v>0.15</v>
      </c>
      <c r="G16" s="220">
        <f t="shared" si="15"/>
        <v>0.001365</v>
      </c>
      <c r="H16" s="229" t="s">
        <v>57</v>
      </c>
      <c r="I16" s="221">
        <f t="shared" si="3"/>
        <v>849816.8498</v>
      </c>
      <c r="J16" s="208"/>
      <c r="K16" s="209">
        <v>10.5</v>
      </c>
      <c r="L16" s="230">
        <v>0.0013</v>
      </c>
      <c r="M16" s="231">
        <f t="shared" si="17"/>
        <v>0.00065</v>
      </c>
      <c r="N16" s="221">
        <f t="shared" si="18"/>
        <v>575682.3821</v>
      </c>
      <c r="O16" s="223"/>
      <c r="P16" s="210">
        <f t="shared" si="23"/>
        <v>109890.1099</v>
      </c>
      <c r="Q16" s="210">
        <f t="shared" si="5"/>
        <v>10197802.2</v>
      </c>
      <c r="R16" s="223"/>
      <c r="S16" s="224">
        <f t="shared" si="20"/>
        <v>3399267.399</v>
      </c>
      <c r="T16" s="224">
        <f t="shared" si="21"/>
        <v>40791208.79</v>
      </c>
      <c r="U16" s="208"/>
      <c r="V16" s="203">
        <v>12.99</v>
      </c>
      <c r="W16" s="232">
        <f t="shared" si="24"/>
        <v>155.88</v>
      </c>
      <c r="X16" s="210">
        <f t="shared" si="25"/>
        <v>1427.472527</v>
      </c>
      <c r="Y16" s="210">
        <f t="shared" si="26"/>
        <v>17129.67033</v>
      </c>
      <c r="Z16" s="214"/>
      <c r="AA16" s="213"/>
      <c r="AB16" s="215"/>
      <c r="AC16" s="225">
        <f t="shared" si="8"/>
        <v>921.8551132</v>
      </c>
      <c r="AD16" s="226"/>
      <c r="AE16" s="226"/>
      <c r="AF16" s="226"/>
      <c r="AG16" s="226"/>
      <c r="AH16" s="226"/>
      <c r="AI16" s="226"/>
      <c r="AJ16" s="226"/>
      <c r="AK16" s="226"/>
      <c r="AL16" s="226"/>
      <c r="AM16" s="226"/>
      <c r="AN16" s="226"/>
    </row>
    <row r="17">
      <c r="A17" s="218" t="s">
        <v>192</v>
      </c>
      <c r="B17" s="207" t="s">
        <v>189</v>
      </c>
      <c r="C17" s="203" t="s">
        <v>57</v>
      </c>
      <c r="D17" s="74" t="s">
        <v>190</v>
      </c>
      <c r="E17" s="204">
        <v>0.005</v>
      </c>
      <c r="F17" s="219">
        <v>0.15</v>
      </c>
      <c r="G17" s="220">
        <f t="shared" si="15"/>
        <v>0.00075</v>
      </c>
      <c r="H17" s="229" t="s">
        <v>57</v>
      </c>
      <c r="I17" s="221">
        <f t="shared" si="3"/>
        <v>1546666.667</v>
      </c>
      <c r="J17" s="208"/>
      <c r="K17" s="209">
        <v>10.5</v>
      </c>
      <c r="L17" s="230">
        <v>0.0013</v>
      </c>
      <c r="M17" s="231">
        <f t="shared" si="17"/>
        <v>0.00065</v>
      </c>
      <c r="N17" s="221">
        <f>SUM(1160/(E17+M17))</f>
        <v>205309.7345</v>
      </c>
      <c r="O17" s="223"/>
      <c r="P17" s="210">
        <f>SUM(100/E17)</f>
        <v>20000</v>
      </c>
      <c r="Q17" s="210">
        <f>SUM(13920/E17)</f>
        <v>2784000</v>
      </c>
      <c r="R17" s="208"/>
      <c r="S17" s="226"/>
      <c r="T17" s="226"/>
      <c r="U17" s="208"/>
      <c r="V17" s="213"/>
      <c r="W17" s="213"/>
      <c r="X17" s="213"/>
      <c r="Y17" s="213"/>
      <c r="Z17" s="214"/>
      <c r="AA17" s="213"/>
      <c r="AB17" s="120" t="s">
        <v>193</v>
      </c>
      <c r="AC17" s="225">
        <f t="shared" si="8"/>
        <v>1243.65054</v>
      </c>
      <c r="AD17" s="226"/>
      <c r="AE17" s="226"/>
      <c r="AF17" s="226"/>
      <c r="AG17" s="226"/>
      <c r="AH17" s="226"/>
      <c r="AI17" s="226"/>
      <c r="AJ17" s="226"/>
      <c r="AK17" s="226"/>
      <c r="AL17" s="226"/>
      <c r="AM17" s="226"/>
      <c r="AN17" s="226"/>
    </row>
    <row r="18">
      <c r="A18" s="218" t="s">
        <v>194</v>
      </c>
      <c r="B18" s="207" t="s">
        <v>189</v>
      </c>
      <c r="C18" s="203" t="s">
        <v>57</v>
      </c>
      <c r="D18" s="74" t="s">
        <v>190</v>
      </c>
      <c r="E18" s="204" t="s">
        <v>57</v>
      </c>
      <c r="F18" s="233"/>
      <c r="G18" s="205">
        <v>5.8E-4</v>
      </c>
      <c r="H18" s="229" t="s">
        <v>57</v>
      </c>
      <c r="I18" s="221">
        <f t="shared" si="3"/>
        <v>2000000</v>
      </c>
      <c r="J18" s="208"/>
      <c r="K18" s="209">
        <v>10.5</v>
      </c>
      <c r="L18" s="230">
        <v>0.0013</v>
      </c>
      <c r="M18" s="231">
        <f t="shared" si="17"/>
        <v>0.00065</v>
      </c>
      <c r="N18" s="221">
        <f t="shared" ref="N18:N20" si="27">SUM(1160/(G18+M18))</f>
        <v>943089.4309</v>
      </c>
      <c r="O18" s="223"/>
      <c r="P18" s="210">
        <f t="shared" ref="P18:P19" si="28">SUM(100/G18)</f>
        <v>172413.7931</v>
      </c>
      <c r="Q18" s="210">
        <f t="shared" ref="Q18:Q20" si="29">SUM(13920/G18)</f>
        <v>24000000</v>
      </c>
      <c r="R18" s="208"/>
      <c r="S18" s="226"/>
      <c r="T18" s="226"/>
      <c r="U18" s="208"/>
      <c r="V18" s="213"/>
      <c r="W18" s="213"/>
      <c r="X18" s="213"/>
      <c r="Y18" s="213"/>
      <c r="Z18" s="214"/>
      <c r="AA18" s="213"/>
      <c r="AB18" s="215"/>
      <c r="AC18" s="225">
        <f t="shared" si="8"/>
        <v>1414.213562</v>
      </c>
      <c r="AD18" s="226"/>
      <c r="AE18" s="226"/>
      <c r="AF18" s="226"/>
      <c r="AG18" s="226"/>
      <c r="AH18" s="226"/>
      <c r="AI18" s="226"/>
      <c r="AJ18" s="226"/>
      <c r="AK18" s="226"/>
      <c r="AL18" s="226"/>
      <c r="AM18" s="226"/>
      <c r="AN18" s="226"/>
    </row>
    <row r="19">
      <c r="A19" s="218" t="s">
        <v>195</v>
      </c>
      <c r="B19" s="207" t="s">
        <v>189</v>
      </c>
      <c r="C19" s="203" t="s">
        <v>57</v>
      </c>
      <c r="D19" s="74" t="s">
        <v>190</v>
      </c>
      <c r="E19" s="204" t="s">
        <v>57</v>
      </c>
      <c r="F19" s="233"/>
      <c r="G19" s="205">
        <v>5.1E-4</v>
      </c>
      <c r="H19" s="229" t="s">
        <v>57</v>
      </c>
      <c r="I19" s="221">
        <f t="shared" si="3"/>
        <v>2274509.804</v>
      </c>
      <c r="J19" s="208"/>
      <c r="K19" s="209">
        <v>10.5</v>
      </c>
      <c r="L19" s="230">
        <v>0.0013</v>
      </c>
      <c r="M19" s="231">
        <f t="shared" si="17"/>
        <v>0.00065</v>
      </c>
      <c r="N19" s="221">
        <f t="shared" si="27"/>
        <v>1000000</v>
      </c>
      <c r="O19" s="223"/>
      <c r="P19" s="210">
        <f t="shared" si="28"/>
        <v>196078.4314</v>
      </c>
      <c r="Q19" s="210">
        <f t="shared" si="29"/>
        <v>27294117.65</v>
      </c>
      <c r="R19" s="208"/>
      <c r="S19" s="226"/>
      <c r="T19" s="226"/>
      <c r="U19" s="208"/>
      <c r="V19" s="213"/>
      <c r="W19" s="213"/>
      <c r="X19" s="213"/>
      <c r="Y19" s="213"/>
      <c r="Z19" s="214"/>
      <c r="AA19" s="213"/>
      <c r="AB19" s="120" t="s">
        <v>193</v>
      </c>
      <c r="AC19" s="225">
        <f t="shared" si="8"/>
        <v>1508.147806</v>
      </c>
      <c r="AD19" s="226"/>
      <c r="AE19" s="226"/>
      <c r="AF19" s="226"/>
      <c r="AG19" s="226"/>
      <c r="AH19" s="226"/>
      <c r="AI19" s="226"/>
      <c r="AJ19" s="226"/>
      <c r="AK19" s="226"/>
      <c r="AL19" s="226"/>
      <c r="AM19" s="226"/>
      <c r="AN19" s="226"/>
    </row>
    <row r="20">
      <c r="A20" s="218" t="s">
        <v>127</v>
      </c>
      <c r="B20" s="207" t="s">
        <v>189</v>
      </c>
      <c r="C20" s="74" t="s">
        <v>57</v>
      </c>
      <c r="D20" s="74" t="s">
        <v>190</v>
      </c>
      <c r="E20" s="204">
        <v>0.0017</v>
      </c>
      <c r="F20" s="219">
        <v>0.15</v>
      </c>
      <c r="G20" s="220">
        <f>E20*F20</f>
        <v>0.000255</v>
      </c>
      <c r="H20" s="229" t="s">
        <v>57</v>
      </c>
      <c r="I20" s="221">
        <f t="shared" si="3"/>
        <v>4549019.608</v>
      </c>
      <c r="J20" s="208"/>
      <c r="K20" s="209">
        <v>10.5</v>
      </c>
      <c r="L20" s="230">
        <v>0.0013</v>
      </c>
      <c r="M20" s="231">
        <f t="shared" si="17"/>
        <v>0.00065</v>
      </c>
      <c r="N20" s="221">
        <f t="shared" si="27"/>
        <v>1281767.956</v>
      </c>
      <c r="O20" s="223"/>
      <c r="P20" s="210">
        <f>SUM(100/E20)</f>
        <v>58823.52941</v>
      </c>
      <c r="Q20" s="210">
        <f t="shared" si="29"/>
        <v>54588235.29</v>
      </c>
      <c r="R20" s="223"/>
      <c r="S20" s="224">
        <f>SUM(I20*4)</f>
        <v>18196078.43</v>
      </c>
      <c r="T20" s="224">
        <f>SUM(S20*12)</f>
        <v>218352941.2</v>
      </c>
      <c r="U20" s="208"/>
      <c r="V20" s="203">
        <v>15.28</v>
      </c>
      <c r="W20" s="232">
        <f>SUM(V20*12)</f>
        <v>183.36</v>
      </c>
      <c r="X20" s="210">
        <f>SUM(V20/E20)</f>
        <v>8988.235294</v>
      </c>
      <c r="Y20" s="210">
        <f>SUM(X20*12)</f>
        <v>107858.8235</v>
      </c>
      <c r="Z20" s="214"/>
      <c r="AA20" s="203" t="s">
        <v>196</v>
      </c>
      <c r="AB20" s="234" t="s">
        <v>197</v>
      </c>
      <c r="AC20" s="225">
        <f t="shared" si="8"/>
        <v>2132.843081</v>
      </c>
      <c r="AD20" s="226"/>
      <c r="AE20" s="226"/>
      <c r="AF20" s="226"/>
      <c r="AG20" s="226"/>
      <c r="AH20" s="226"/>
      <c r="AI20" s="226"/>
      <c r="AJ20" s="226"/>
      <c r="AK20" s="226"/>
      <c r="AL20" s="226"/>
      <c r="AM20" s="226"/>
      <c r="AN20" s="226"/>
    </row>
    <row r="21">
      <c r="A21" s="235"/>
      <c r="B21" s="202"/>
      <c r="C21" s="75"/>
      <c r="D21" s="75"/>
      <c r="E21" s="227"/>
      <c r="F21" s="75"/>
      <c r="G21" s="236"/>
      <c r="H21" s="237"/>
      <c r="I21" s="238"/>
      <c r="J21" s="208"/>
      <c r="K21" s="222"/>
      <c r="L21" s="213"/>
      <c r="M21" s="213"/>
      <c r="N21" s="238"/>
      <c r="O21" s="208"/>
      <c r="P21" s="210"/>
      <c r="Q21" s="213"/>
      <c r="R21" s="208"/>
      <c r="S21" s="226"/>
      <c r="T21" s="226"/>
      <c r="U21" s="208"/>
      <c r="V21" s="213"/>
      <c r="W21" s="213"/>
      <c r="X21" s="213"/>
      <c r="Y21" s="213"/>
      <c r="Z21" s="214"/>
      <c r="AA21" s="213"/>
      <c r="AB21" s="215"/>
      <c r="AC21" s="239"/>
      <c r="AD21" s="226"/>
      <c r="AE21" s="226"/>
      <c r="AF21" s="226"/>
      <c r="AG21" s="226"/>
      <c r="AH21" s="226"/>
      <c r="AI21" s="226"/>
      <c r="AJ21" s="226"/>
      <c r="AK21" s="226"/>
      <c r="AL21" s="226"/>
      <c r="AM21" s="226"/>
      <c r="AN21" s="226"/>
    </row>
    <row r="22">
      <c r="A22" s="239"/>
      <c r="B22" s="202"/>
      <c r="C22" s="75"/>
      <c r="D22" s="75"/>
      <c r="E22" s="227"/>
      <c r="F22" s="75"/>
      <c r="G22" s="236"/>
      <c r="H22" s="237"/>
      <c r="I22" s="238"/>
      <c r="J22" s="208"/>
      <c r="K22" s="222"/>
      <c r="L22" s="213"/>
      <c r="M22" s="213"/>
      <c r="N22" s="238"/>
      <c r="O22" s="208"/>
      <c r="P22" s="210"/>
      <c r="Q22" s="213"/>
      <c r="R22" s="208"/>
      <c r="S22" s="226"/>
      <c r="T22" s="226"/>
      <c r="U22" s="208"/>
      <c r="V22" s="213"/>
      <c r="W22" s="213"/>
      <c r="X22" s="213"/>
      <c r="Y22" s="213"/>
      <c r="Z22" s="214"/>
      <c r="AA22" s="213"/>
      <c r="AB22" s="215"/>
      <c r="AC22" s="239"/>
      <c r="AD22" s="226"/>
      <c r="AE22" s="226"/>
      <c r="AF22" s="226"/>
      <c r="AG22" s="226"/>
      <c r="AH22" s="226"/>
      <c r="AI22" s="226"/>
      <c r="AJ22" s="226"/>
      <c r="AK22" s="226"/>
      <c r="AL22" s="226"/>
      <c r="AM22" s="226"/>
      <c r="AN22" s="226"/>
    </row>
  </sheetData>
  <hyperlinks>
    <hyperlink r:id="rId1" ref="AB3"/>
    <hyperlink r:id="rId2" ref="AB4"/>
    <hyperlink r:id="rId3" ref="AB5"/>
    <hyperlink r:id="rId4" ref="AB6"/>
    <hyperlink r:id="rId5" ref="AB8"/>
    <hyperlink r:id="rId6" ref="AB9"/>
    <hyperlink r:id="rId7" ref="AB10"/>
    <hyperlink r:id="rId8" ref="AB11"/>
    <hyperlink r:id="rId9" ref="AB12"/>
    <hyperlink r:id="rId10" ref="AB13"/>
    <hyperlink r:id="rId11" ref="AB14"/>
    <hyperlink r:id="rId12" ref="AB17"/>
    <hyperlink r:id="rId13" ref="AB19"/>
  </hyperlinks>
  <drawing r:id="rId1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2.75"/>
  <cols>
    <col customWidth="1" min="1" max="1" width="38.25"/>
    <col customWidth="1" min="2" max="2" width="15.0"/>
    <col customWidth="1" min="3" max="3" width="7.25"/>
    <col customWidth="1" min="4" max="4" width="8.0"/>
    <col customWidth="1" min="5" max="5" width="7.13"/>
    <col customWidth="1" min="6" max="6" width="10.13"/>
    <col customWidth="1" min="7" max="7" width="7.25"/>
    <col customWidth="1" min="8" max="8" width="8.88"/>
    <col customWidth="1" min="9" max="9" width="9.5"/>
    <col customWidth="1" min="10" max="10" width="1.25"/>
    <col customWidth="1" min="11" max="11" width="8.75"/>
    <col customWidth="1" min="12" max="12" width="7.5"/>
    <col customWidth="1" min="13" max="13" width="8.13"/>
    <col customWidth="1" min="14" max="14" width="8.75"/>
    <col customWidth="1" min="15" max="15" width="1.63"/>
    <col customWidth="1" min="16" max="16" width="8.5"/>
    <col customWidth="1" min="17" max="17" width="12.88"/>
    <col customWidth="1" min="18" max="18" width="1.38"/>
    <col customWidth="1" min="19" max="20" width="10.13"/>
    <col customWidth="1" min="21" max="21" width="1.38"/>
    <col customWidth="1" min="22" max="23" width="7.75"/>
    <col customWidth="1" min="24" max="24" width="7.25"/>
    <col customWidth="1" min="25" max="25" width="9.0"/>
    <col customWidth="1" min="26" max="26" width="38.25"/>
    <col customWidth="1" min="27" max="38" width="15.13"/>
  </cols>
  <sheetData>
    <row r="1">
      <c r="A1" s="240" t="s">
        <v>0</v>
      </c>
      <c r="B1" s="241" t="s">
        <v>2</v>
      </c>
      <c r="C1" s="242" t="s">
        <v>154</v>
      </c>
      <c r="D1" s="242" t="s">
        <v>155</v>
      </c>
      <c r="E1" s="243" t="s">
        <v>156</v>
      </c>
      <c r="F1" s="242" t="s">
        <v>198</v>
      </c>
      <c r="G1" s="244" t="s">
        <v>199</v>
      </c>
      <c r="H1" s="240" t="s">
        <v>159</v>
      </c>
      <c r="I1" s="245" t="s">
        <v>200</v>
      </c>
      <c r="J1" s="246"/>
      <c r="K1" s="247" t="s">
        <v>161</v>
      </c>
      <c r="L1" s="240" t="s">
        <v>162</v>
      </c>
      <c r="M1" s="240" t="s">
        <v>163</v>
      </c>
      <c r="N1" s="245" t="s">
        <v>201</v>
      </c>
      <c r="O1" s="248"/>
      <c r="P1" s="249" t="s">
        <v>202</v>
      </c>
      <c r="Q1" s="240" t="s">
        <v>203</v>
      </c>
      <c r="R1" s="246"/>
      <c r="S1" s="240" t="s">
        <v>204</v>
      </c>
      <c r="T1" s="240" t="s">
        <v>205</v>
      </c>
      <c r="U1" s="246"/>
      <c r="V1" s="240" t="s">
        <v>38</v>
      </c>
      <c r="W1" s="240" t="s">
        <v>39</v>
      </c>
      <c r="X1" s="240" t="s">
        <v>169</v>
      </c>
      <c r="Y1" s="240" t="s">
        <v>170</v>
      </c>
      <c r="Z1" s="250" t="s">
        <v>206</v>
      </c>
      <c r="AA1" s="250" t="s">
        <v>172</v>
      </c>
      <c r="AB1" s="251"/>
      <c r="AC1" s="251"/>
      <c r="AD1" s="251"/>
      <c r="AE1" s="251"/>
      <c r="AF1" s="251"/>
      <c r="AG1" s="251"/>
      <c r="AH1" s="251"/>
      <c r="AI1" s="251"/>
      <c r="AJ1" s="251"/>
      <c r="AK1" s="251"/>
      <c r="AL1" s="251"/>
    </row>
    <row r="2">
      <c r="A2" s="201"/>
      <c r="B2" s="226"/>
      <c r="C2" s="217"/>
      <c r="D2" s="252" t="s">
        <v>49</v>
      </c>
      <c r="E2" s="253" t="s">
        <v>48</v>
      </c>
      <c r="F2" s="252" t="s">
        <v>173</v>
      </c>
      <c r="G2" s="254" t="s">
        <v>174</v>
      </c>
      <c r="H2" s="226"/>
      <c r="I2" s="255" t="s">
        <v>207</v>
      </c>
      <c r="J2" s="256"/>
      <c r="K2" s="257" t="s">
        <v>49</v>
      </c>
      <c r="L2" s="212" t="s">
        <v>48</v>
      </c>
      <c r="M2" s="212" t="s">
        <v>48</v>
      </c>
      <c r="N2" s="255" t="s">
        <v>207</v>
      </c>
      <c r="O2" s="258"/>
      <c r="P2" s="259"/>
      <c r="Q2" s="212" t="s">
        <v>208</v>
      </c>
      <c r="R2" s="260"/>
      <c r="S2" s="212" t="s">
        <v>53</v>
      </c>
      <c r="T2" s="212" t="s">
        <v>53</v>
      </c>
      <c r="U2" s="260"/>
      <c r="V2" s="212" t="s">
        <v>209</v>
      </c>
      <c r="W2" s="217"/>
      <c r="X2" s="217"/>
      <c r="Y2" s="217"/>
      <c r="Z2" s="261"/>
      <c r="AA2" s="262" t="s">
        <v>177</v>
      </c>
      <c r="AB2" s="217"/>
      <c r="AC2" s="217"/>
      <c r="AD2" s="217"/>
      <c r="AE2" s="217"/>
      <c r="AF2" s="217"/>
      <c r="AG2" s="217"/>
      <c r="AH2" s="217"/>
      <c r="AI2" s="217"/>
      <c r="AJ2" s="217"/>
      <c r="AK2" s="217"/>
      <c r="AL2" s="217"/>
    </row>
    <row r="3">
      <c r="A3" s="263" t="s">
        <v>210</v>
      </c>
      <c r="B3" s="218" t="s">
        <v>56</v>
      </c>
      <c r="C3" s="264">
        <v>9.99</v>
      </c>
      <c r="D3" s="86">
        <v>0.0</v>
      </c>
      <c r="E3" s="265">
        <v>0.0</v>
      </c>
      <c r="F3" s="266">
        <v>81.0</v>
      </c>
      <c r="G3" s="267">
        <f t="shared" ref="G3:G4" si="1">SUM(C3*(F3/100))</f>
        <v>8.0919</v>
      </c>
      <c r="H3" s="268">
        <f t="shared" ref="H3:H14" si="2">SUM(G3/C3)</f>
        <v>0.81</v>
      </c>
      <c r="I3" s="269">
        <f t="shared" ref="I3:I14" si="3">SUM(1160/G3)</f>
        <v>143.3532298</v>
      </c>
      <c r="J3" s="256"/>
      <c r="K3" s="270"/>
      <c r="L3" s="226"/>
      <c r="M3" s="226"/>
      <c r="N3" s="269"/>
      <c r="O3" s="271"/>
      <c r="P3" s="259">
        <f t="shared" ref="P3:P4" si="4">SUM(100/G3)</f>
        <v>12.35803705</v>
      </c>
      <c r="Q3" s="272">
        <f t="shared" ref="Q3:Q14" si="5">SUM(13920/G3)</f>
        <v>1720.238757</v>
      </c>
      <c r="R3" s="273"/>
      <c r="S3" s="224">
        <f t="shared" ref="S3:S8" si="6">SUM(I3*4)</f>
        <v>573.4129191</v>
      </c>
      <c r="T3" s="224">
        <f t="shared" ref="T3:T8" si="7">SUM(S3*12)</f>
        <v>6880.955029</v>
      </c>
      <c r="U3" s="256"/>
      <c r="V3" s="226"/>
      <c r="W3" s="226"/>
      <c r="X3" s="226"/>
      <c r="Y3" s="226"/>
      <c r="Z3" s="274" t="s">
        <v>179</v>
      </c>
      <c r="AA3" s="275">
        <f t="shared" ref="AA3:AA14" si="8">SQRT(I3)</f>
        <v>11.97302091</v>
      </c>
      <c r="AB3" s="226"/>
      <c r="AC3" s="226"/>
      <c r="AD3" s="226"/>
      <c r="AE3" s="226"/>
      <c r="AF3" s="226"/>
      <c r="AG3" s="226"/>
      <c r="AH3" s="226"/>
      <c r="AI3" s="226"/>
      <c r="AJ3" s="226"/>
      <c r="AK3" s="226"/>
      <c r="AL3" s="226"/>
    </row>
    <row r="4">
      <c r="A4" s="263" t="s">
        <v>59</v>
      </c>
      <c r="B4" s="218" t="s">
        <v>96</v>
      </c>
      <c r="C4" s="264">
        <v>9.99</v>
      </c>
      <c r="D4" s="86">
        <v>0.0</v>
      </c>
      <c r="E4" s="265">
        <v>0.0</v>
      </c>
      <c r="F4" s="266">
        <v>75.0</v>
      </c>
      <c r="G4" s="267">
        <f t="shared" si="1"/>
        <v>7.4925</v>
      </c>
      <c r="H4" s="268">
        <f t="shared" si="2"/>
        <v>0.75</v>
      </c>
      <c r="I4" s="269">
        <f t="shared" si="3"/>
        <v>154.8214882</v>
      </c>
      <c r="J4" s="256"/>
      <c r="K4" s="270"/>
      <c r="L4" s="226"/>
      <c r="M4" s="226"/>
      <c r="N4" s="269"/>
      <c r="O4" s="271"/>
      <c r="P4" s="259">
        <f t="shared" si="4"/>
        <v>13.34668001</v>
      </c>
      <c r="Q4" s="272">
        <f t="shared" si="5"/>
        <v>1857.857858</v>
      </c>
      <c r="R4" s="273"/>
      <c r="S4" s="224">
        <f t="shared" si="6"/>
        <v>619.2859526</v>
      </c>
      <c r="T4" s="224">
        <f t="shared" si="7"/>
        <v>7431.431431</v>
      </c>
      <c r="U4" s="256"/>
      <c r="V4" s="226"/>
      <c r="W4" s="226"/>
      <c r="X4" s="226"/>
      <c r="Y4" s="226"/>
      <c r="Z4" s="274" t="s">
        <v>180</v>
      </c>
      <c r="AA4" s="275">
        <f t="shared" si="8"/>
        <v>12.44272832</v>
      </c>
      <c r="AB4" s="226"/>
      <c r="AC4" s="226"/>
      <c r="AD4" s="226"/>
      <c r="AE4" s="226"/>
      <c r="AF4" s="226"/>
      <c r="AG4" s="226"/>
      <c r="AH4" s="226"/>
      <c r="AI4" s="226"/>
      <c r="AJ4" s="226"/>
      <c r="AK4" s="226"/>
      <c r="AL4" s="226"/>
    </row>
    <row r="5">
      <c r="A5" s="263" t="s">
        <v>182</v>
      </c>
      <c r="B5" s="218" t="s">
        <v>211</v>
      </c>
      <c r="C5" s="264">
        <v>9.99</v>
      </c>
      <c r="D5" s="86">
        <v>63.0</v>
      </c>
      <c r="E5" s="276">
        <f t="shared" ref="E5:E7" si="9">SUM(C5*(D5/100))</f>
        <v>6.2937</v>
      </c>
      <c r="F5" s="266">
        <v>15.0</v>
      </c>
      <c r="G5" s="267">
        <f t="shared" ref="G5:G7" si="10">SUM(E5*(F5/100))</f>
        <v>0.944055</v>
      </c>
      <c r="H5" s="268">
        <f t="shared" si="2"/>
        <v>0.0945</v>
      </c>
      <c r="I5" s="269">
        <f t="shared" si="3"/>
        <v>1228.741969</v>
      </c>
      <c r="J5" s="256"/>
      <c r="K5" s="277">
        <v>5.0</v>
      </c>
      <c r="L5" s="278">
        <f t="shared" ref="L5:L7" si="11">SUM(C5*(K5/100))</f>
        <v>0.4995</v>
      </c>
      <c r="M5" s="278">
        <f t="shared" ref="M5:M7" si="12">SUM(L5/2)</f>
        <v>0.24975</v>
      </c>
      <c r="N5" s="269">
        <f t="shared" ref="N5:N7" si="13">SUM(1160/(G5+M5))</f>
        <v>971.6829801</v>
      </c>
      <c r="O5" s="271"/>
      <c r="P5" s="259">
        <f>100/6.37</f>
        <v>15.69858713</v>
      </c>
      <c r="Q5" s="272">
        <f t="shared" si="5"/>
        <v>14744.90363</v>
      </c>
      <c r="R5" s="273"/>
      <c r="S5" s="224">
        <f t="shared" si="6"/>
        <v>4914.967878</v>
      </c>
      <c r="T5" s="224">
        <f t="shared" si="7"/>
        <v>58979.61454</v>
      </c>
      <c r="U5" s="256"/>
      <c r="V5" s="226"/>
      <c r="W5" s="226"/>
      <c r="X5" s="226"/>
      <c r="Y5" s="226"/>
      <c r="Z5" s="274" t="s">
        <v>179</v>
      </c>
      <c r="AA5" s="275">
        <f t="shared" si="8"/>
        <v>35.05341595</v>
      </c>
      <c r="AB5" s="226"/>
      <c r="AC5" s="226"/>
      <c r="AD5" s="226"/>
      <c r="AE5" s="226"/>
      <c r="AF5" s="226"/>
      <c r="AG5" s="226"/>
      <c r="AH5" s="226"/>
      <c r="AI5" s="226"/>
      <c r="AJ5" s="226"/>
      <c r="AK5" s="226"/>
      <c r="AL5" s="226"/>
    </row>
    <row r="6">
      <c r="A6" s="263" t="s">
        <v>87</v>
      </c>
      <c r="B6" s="218" t="s">
        <v>96</v>
      </c>
      <c r="C6" s="264">
        <v>9.99</v>
      </c>
      <c r="D6" s="86">
        <v>63.0</v>
      </c>
      <c r="E6" s="276">
        <f t="shared" si="9"/>
        <v>6.2937</v>
      </c>
      <c r="F6" s="266">
        <v>15.0</v>
      </c>
      <c r="G6" s="267">
        <f t="shared" si="10"/>
        <v>0.944055</v>
      </c>
      <c r="H6" s="268">
        <f t="shared" si="2"/>
        <v>0.0945</v>
      </c>
      <c r="I6" s="269">
        <f t="shared" si="3"/>
        <v>1228.741969</v>
      </c>
      <c r="J6" s="256"/>
      <c r="K6" s="277">
        <v>9.1</v>
      </c>
      <c r="L6" s="278">
        <f t="shared" si="11"/>
        <v>0.90909</v>
      </c>
      <c r="M6" s="278">
        <f t="shared" si="12"/>
        <v>0.454545</v>
      </c>
      <c r="N6" s="269">
        <f t="shared" si="13"/>
        <v>829.4008294</v>
      </c>
      <c r="O6" s="271"/>
      <c r="P6" s="259">
        <f>SUM(100/G6)</f>
        <v>105.9260319</v>
      </c>
      <c r="Q6" s="272">
        <f t="shared" si="5"/>
        <v>14744.90363</v>
      </c>
      <c r="R6" s="273"/>
      <c r="S6" s="224">
        <f t="shared" si="6"/>
        <v>4914.967878</v>
      </c>
      <c r="T6" s="224">
        <f t="shared" si="7"/>
        <v>58979.61454</v>
      </c>
      <c r="U6" s="256"/>
      <c r="V6" s="226"/>
      <c r="W6" s="226"/>
      <c r="X6" s="226"/>
      <c r="Y6" s="226"/>
      <c r="Z6" s="261"/>
      <c r="AA6" s="275">
        <f t="shared" si="8"/>
        <v>35.05341595</v>
      </c>
      <c r="AB6" s="226"/>
      <c r="AC6" s="226"/>
      <c r="AD6" s="226"/>
      <c r="AE6" s="226"/>
      <c r="AF6" s="226"/>
      <c r="AG6" s="226"/>
      <c r="AH6" s="226"/>
      <c r="AI6" s="226"/>
      <c r="AJ6" s="226"/>
      <c r="AK6" s="226"/>
      <c r="AL6" s="226"/>
    </row>
    <row r="7">
      <c r="A7" s="263" t="s">
        <v>212</v>
      </c>
      <c r="B7" s="218" t="s">
        <v>56</v>
      </c>
      <c r="C7" s="264">
        <v>9.99</v>
      </c>
      <c r="D7" s="86">
        <v>20.0</v>
      </c>
      <c r="E7" s="276">
        <f t="shared" si="9"/>
        <v>1.998</v>
      </c>
      <c r="F7" s="266">
        <v>50.0</v>
      </c>
      <c r="G7" s="267">
        <f t="shared" si="10"/>
        <v>0.999</v>
      </c>
      <c r="H7" s="268">
        <f t="shared" si="2"/>
        <v>0.1</v>
      </c>
      <c r="I7" s="269">
        <f t="shared" si="3"/>
        <v>1161.161161</v>
      </c>
      <c r="J7" s="256"/>
      <c r="K7" s="277">
        <v>5.0</v>
      </c>
      <c r="L7" s="278">
        <f t="shared" si="11"/>
        <v>0.4995</v>
      </c>
      <c r="M7" s="278">
        <f t="shared" si="12"/>
        <v>0.24975</v>
      </c>
      <c r="N7" s="269">
        <f t="shared" si="13"/>
        <v>928.9289289</v>
      </c>
      <c r="O7" s="271"/>
      <c r="P7" s="259">
        <f>100/G7</f>
        <v>100.1001001</v>
      </c>
      <c r="Q7" s="272">
        <f t="shared" si="5"/>
        <v>13933.93393</v>
      </c>
      <c r="R7" s="273"/>
      <c r="S7" s="224">
        <f t="shared" si="6"/>
        <v>4644.644645</v>
      </c>
      <c r="T7" s="224">
        <f t="shared" si="7"/>
        <v>55735.73574</v>
      </c>
      <c r="U7" s="256"/>
      <c r="V7" s="226"/>
      <c r="W7" s="226"/>
      <c r="X7" s="226"/>
      <c r="Y7" s="226"/>
      <c r="Z7" s="274" t="s">
        <v>181</v>
      </c>
      <c r="AA7" s="275">
        <f t="shared" si="8"/>
        <v>34.0758149</v>
      </c>
      <c r="AB7" s="226"/>
      <c r="AC7" s="226"/>
      <c r="AD7" s="226"/>
      <c r="AE7" s="226"/>
      <c r="AF7" s="226"/>
      <c r="AG7" s="226"/>
      <c r="AH7" s="226"/>
      <c r="AI7" s="226"/>
      <c r="AJ7" s="226"/>
      <c r="AK7" s="226"/>
      <c r="AL7" s="226"/>
    </row>
    <row r="8">
      <c r="A8" s="263" t="s">
        <v>59</v>
      </c>
      <c r="B8" s="218" t="s">
        <v>183</v>
      </c>
      <c r="C8" s="264">
        <v>0.99</v>
      </c>
      <c r="D8" s="86">
        <v>0.0</v>
      </c>
      <c r="E8" s="243">
        <v>0.0</v>
      </c>
      <c r="F8" s="266">
        <v>75.0</v>
      </c>
      <c r="G8" s="267">
        <f>SUM(C8*(F8/100))</f>
        <v>0.7425</v>
      </c>
      <c r="H8" s="268">
        <f t="shared" si="2"/>
        <v>0.75</v>
      </c>
      <c r="I8" s="269">
        <f t="shared" si="3"/>
        <v>1562.289562</v>
      </c>
      <c r="J8" s="256"/>
      <c r="K8" s="270"/>
      <c r="L8" s="278"/>
      <c r="M8" s="278"/>
      <c r="N8" s="269"/>
      <c r="O8" s="271"/>
      <c r="P8" s="259">
        <f t="shared" ref="P8:P9" si="14">SUM(100/G8)</f>
        <v>134.6801347</v>
      </c>
      <c r="Q8" s="272">
        <f t="shared" si="5"/>
        <v>18747.47475</v>
      </c>
      <c r="R8" s="273"/>
      <c r="S8" s="224">
        <f t="shared" si="6"/>
        <v>6249.158249</v>
      </c>
      <c r="T8" s="224">
        <f t="shared" si="7"/>
        <v>74989.89899</v>
      </c>
      <c r="U8" s="256"/>
      <c r="V8" s="226"/>
      <c r="W8" s="226"/>
      <c r="X8" s="226"/>
      <c r="Y8" s="226"/>
      <c r="Z8" s="274" t="s">
        <v>180</v>
      </c>
      <c r="AA8" s="275">
        <f t="shared" si="8"/>
        <v>39.52580881</v>
      </c>
      <c r="AB8" s="226"/>
      <c r="AC8" s="226"/>
      <c r="AD8" s="226"/>
      <c r="AE8" s="226"/>
      <c r="AF8" s="226"/>
      <c r="AG8" s="226"/>
      <c r="AH8" s="226"/>
      <c r="AI8" s="226"/>
      <c r="AJ8" s="226"/>
      <c r="AK8" s="226"/>
      <c r="AL8" s="226"/>
    </row>
    <row r="9">
      <c r="A9" s="263" t="s">
        <v>184</v>
      </c>
      <c r="B9" s="218" t="s">
        <v>183</v>
      </c>
      <c r="C9" s="264">
        <v>0.99</v>
      </c>
      <c r="D9" s="86">
        <v>63.0</v>
      </c>
      <c r="E9" s="276">
        <f t="shared" ref="E9:E14" si="15">SUM(C9*(D9/100))</f>
        <v>0.6237</v>
      </c>
      <c r="F9" s="266">
        <v>91.0</v>
      </c>
      <c r="G9" s="267">
        <f t="shared" ref="G9:G14" si="16">SUM(E9*(F9/100))</f>
        <v>0.567567</v>
      </c>
      <c r="H9" s="268">
        <f t="shared" si="2"/>
        <v>0.5733</v>
      </c>
      <c r="I9" s="269">
        <f t="shared" si="3"/>
        <v>2043.811568</v>
      </c>
      <c r="J9" s="256"/>
      <c r="K9" s="270"/>
      <c r="L9" s="278"/>
      <c r="M9" s="278"/>
      <c r="N9" s="269"/>
      <c r="O9" s="271"/>
      <c r="P9" s="259">
        <f t="shared" si="14"/>
        <v>176.1906524</v>
      </c>
      <c r="Q9" s="272">
        <f t="shared" si="5"/>
        <v>24525.73881</v>
      </c>
      <c r="R9" s="273"/>
      <c r="S9" s="224"/>
      <c r="T9" s="224"/>
      <c r="U9" s="256"/>
      <c r="V9" s="226"/>
      <c r="W9" s="226"/>
      <c r="X9" s="226"/>
      <c r="Y9" s="226"/>
      <c r="Z9" s="274" t="s">
        <v>180</v>
      </c>
      <c r="AA9" s="275">
        <f t="shared" si="8"/>
        <v>45.20853423</v>
      </c>
      <c r="AB9" s="226"/>
      <c r="AC9" s="226"/>
      <c r="AD9" s="226"/>
      <c r="AE9" s="226"/>
      <c r="AF9" s="226"/>
      <c r="AG9" s="226"/>
      <c r="AH9" s="226"/>
      <c r="AI9" s="226"/>
      <c r="AJ9" s="226"/>
      <c r="AK9" s="226"/>
      <c r="AL9" s="226"/>
    </row>
    <row r="10">
      <c r="A10" s="263" t="s">
        <v>213</v>
      </c>
      <c r="B10" s="218" t="s">
        <v>186</v>
      </c>
      <c r="C10" s="264">
        <v>4.99</v>
      </c>
      <c r="D10" s="86">
        <v>20.0</v>
      </c>
      <c r="E10" s="276">
        <f t="shared" si="15"/>
        <v>0.998</v>
      </c>
      <c r="F10" s="266">
        <v>50.0</v>
      </c>
      <c r="G10" s="267">
        <f t="shared" si="16"/>
        <v>0.499</v>
      </c>
      <c r="H10" s="268">
        <f t="shared" si="2"/>
        <v>0.1</v>
      </c>
      <c r="I10" s="269">
        <f t="shared" si="3"/>
        <v>2324.649299</v>
      </c>
      <c r="J10" s="256"/>
      <c r="K10" s="277">
        <v>5.0</v>
      </c>
      <c r="L10" s="278">
        <f t="shared" ref="L10:L14" si="17">SUM(C10*(K10/100))</f>
        <v>0.2495</v>
      </c>
      <c r="M10" s="278">
        <f t="shared" ref="M10:M14" si="18">SUM(L10/2)</f>
        <v>0.12475</v>
      </c>
      <c r="N10" s="269">
        <f t="shared" ref="N10:N14" si="19">SUM(1160/(G10+M10))</f>
        <v>1859.719439</v>
      </c>
      <c r="O10" s="271"/>
      <c r="P10" s="259">
        <f t="shared" ref="P10:P12" si="20">100/G10</f>
        <v>200.4008016</v>
      </c>
      <c r="Q10" s="272">
        <f t="shared" si="5"/>
        <v>27895.79158</v>
      </c>
      <c r="R10" s="273"/>
      <c r="S10" s="224">
        <f t="shared" ref="S10:S14" si="21">SUM(I10*4)</f>
        <v>9298.597194</v>
      </c>
      <c r="T10" s="224">
        <f t="shared" ref="T10:T14" si="22">SUM(S10*12)</f>
        <v>111583.1663</v>
      </c>
      <c r="U10" s="256"/>
      <c r="V10" s="226"/>
      <c r="W10" s="226"/>
      <c r="X10" s="226"/>
      <c r="Y10" s="226"/>
      <c r="Z10" s="274" t="s">
        <v>181</v>
      </c>
      <c r="AA10" s="275">
        <f t="shared" si="8"/>
        <v>48.21461706</v>
      </c>
      <c r="AB10" s="226"/>
      <c r="AC10" s="226"/>
      <c r="AD10" s="226"/>
      <c r="AE10" s="226"/>
      <c r="AF10" s="226"/>
      <c r="AG10" s="226"/>
      <c r="AH10" s="226"/>
      <c r="AI10" s="226"/>
      <c r="AJ10" s="226"/>
      <c r="AK10" s="226"/>
      <c r="AL10" s="226"/>
    </row>
    <row r="11">
      <c r="A11" s="263" t="s">
        <v>214</v>
      </c>
      <c r="B11" s="218" t="s">
        <v>56</v>
      </c>
      <c r="C11" s="264">
        <v>9.99</v>
      </c>
      <c r="D11" s="86">
        <v>20.0</v>
      </c>
      <c r="E11" s="276">
        <f t="shared" si="15"/>
        <v>1.998</v>
      </c>
      <c r="F11" s="266">
        <v>15.0</v>
      </c>
      <c r="G11" s="267">
        <f t="shared" si="16"/>
        <v>0.2997</v>
      </c>
      <c r="H11" s="268">
        <f t="shared" si="2"/>
        <v>0.03</v>
      </c>
      <c r="I11" s="269">
        <f t="shared" si="3"/>
        <v>3870.537204</v>
      </c>
      <c r="J11" s="256"/>
      <c r="K11" s="277">
        <v>5.0</v>
      </c>
      <c r="L11" s="278">
        <f t="shared" si="17"/>
        <v>0.4995</v>
      </c>
      <c r="M11" s="278">
        <f t="shared" si="18"/>
        <v>0.24975</v>
      </c>
      <c r="N11" s="269">
        <f t="shared" si="19"/>
        <v>2111.202111</v>
      </c>
      <c r="O11" s="271"/>
      <c r="P11" s="259">
        <f t="shared" si="20"/>
        <v>333.6670003</v>
      </c>
      <c r="Q11" s="272">
        <f t="shared" si="5"/>
        <v>46446.44645</v>
      </c>
      <c r="R11" s="273"/>
      <c r="S11" s="224">
        <f t="shared" si="21"/>
        <v>15482.14882</v>
      </c>
      <c r="T11" s="224">
        <f t="shared" si="22"/>
        <v>185785.7858</v>
      </c>
      <c r="U11" s="256"/>
      <c r="V11" s="226"/>
      <c r="W11" s="226"/>
      <c r="X11" s="226"/>
      <c r="Y11" s="226"/>
      <c r="Z11" s="274" t="s">
        <v>181</v>
      </c>
      <c r="AA11" s="275">
        <f t="shared" si="8"/>
        <v>62.21364162</v>
      </c>
      <c r="AB11" s="226"/>
      <c r="AC11" s="226"/>
      <c r="AD11" s="226"/>
      <c r="AE11" s="226"/>
      <c r="AF11" s="226"/>
      <c r="AG11" s="226"/>
      <c r="AH11" s="226"/>
      <c r="AI11" s="226"/>
      <c r="AJ11" s="226"/>
      <c r="AK11" s="226"/>
      <c r="AL11" s="226"/>
    </row>
    <row r="12">
      <c r="A12" s="263" t="s">
        <v>215</v>
      </c>
      <c r="B12" s="218" t="s">
        <v>186</v>
      </c>
      <c r="C12" s="264">
        <v>4.99</v>
      </c>
      <c r="D12" s="86">
        <v>20.0</v>
      </c>
      <c r="E12" s="276">
        <f t="shared" si="15"/>
        <v>0.998</v>
      </c>
      <c r="F12" s="266">
        <v>15.0</v>
      </c>
      <c r="G12" s="267">
        <f t="shared" si="16"/>
        <v>0.1497</v>
      </c>
      <c r="H12" s="268">
        <f t="shared" si="2"/>
        <v>0.03</v>
      </c>
      <c r="I12" s="269">
        <f t="shared" si="3"/>
        <v>7748.830995</v>
      </c>
      <c r="J12" s="256"/>
      <c r="K12" s="277">
        <v>5.0</v>
      </c>
      <c r="L12" s="278">
        <f t="shared" si="17"/>
        <v>0.2495</v>
      </c>
      <c r="M12" s="278">
        <f t="shared" si="18"/>
        <v>0.12475</v>
      </c>
      <c r="N12" s="269">
        <f t="shared" si="19"/>
        <v>4226.635088</v>
      </c>
      <c r="O12" s="271"/>
      <c r="P12" s="259">
        <f t="shared" si="20"/>
        <v>668.002672</v>
      </c>
      <c r="Q12" s="272">
        <f t="shared" si="5"/>
        <v>92985.97194</v>
      </c>
      <c r="R12" s="273"/>
      <c r="S12" s="224">
        <f t="shared" si="21"/>
        <v>30995.32398</v>
      </c>
      <c r="T12" s="224">
        <f t="shared" si="22"/>
        <v>371943.8878</v>
      </c>
      <c r="U12" s="256"/>
      <c r="V12" s="226"/>
      <c r="W12" s="226"/>
      <c r="X12" s="226"/>
      <c r="Y12" s="226"/>
      <c r="Z12" s="274" t="s">
        <v>181</v>
      </c>
      <c r="AA12" s="275">
        <f t="shared" si="8"/>
        <v>88.02744456</v>
      </c>
      <c r="AB12" s="226"/>
      <c r="AC12" s="226"/>
      <c r="AD12" s="226"/>
      <c r="AE12" s="226"/>
      <c r="AF12" s="226"/>
      <c r="AG12" s="226"/>
      <c r="AH12" s="226"/>
      <c r="AI12" s="226"/>
      <c r="AJ12" s="226"/>
      <c r="AK12" s="226"/>
      <c r="AL12" s="226"/>
    </row>
    <row r="13">
      <c r="A13" s="263" t="s">
        <v>69</v>
      </c>
      <c r="B13" s="218" t="s">
        <v>183</v>
      </c>
      <c r="C13" s="264">
        <v>0.99</v>
      </c>
      <c r="D13" s="86">
        <v>63.0</v>
      </c>
      <c r="E13" s="276">
        <f t="shared" si="15"/>
        <v>0.6237</v>
      </c>
      <c r="F13" s="266">
        <v>15.0</v>
      </c>
      <c r="G13" s="267">
        <f t="shared" si="16"/>
        <v>0.093555</v>
      </c>
      <c r="H13" s="268">
        <f t="shared" si="2"/>
        <v>0.0945</v>
      </c>
      <c r="I13" s="269">
        <f t="shared" si="3"/>
        <v>12399.12351</v>
      </c>
      <c r="J13" s="256"/>
      <c r="K13" s="277">
        <v>9.1</v>
      </c>
      <c r="L13" s="278">
        <f t="shared" si="17"/>
        <v>0.09009</v>
      </c>
      <c r="M13" s="278">
        <f t="shared" si="18"/>
        <v>0.045045</v>
      </c>
      <c r="N13" s="269">
        <f t="shared" si="19"/>
        <v>8369.408369</v>
      </c>
      <c r="O13" s="271"/>
      <c r="P13" s="259">
        <f t="shared" ref="P13:P14" si="23">SUM(100/G13)</f>
        <v>1068.889958</v>
      </c>
      <c r="Q13" s="272">
        <f t="shared" si="5"/>
        <v>148789.4821</v>
      </c>
      <c r="R13" s="273"/>
      <c r="S13" s="224">
        <f t="shared" si="21"/>
        <v>49596.49404</v>
      </c>
      <c r="T13" s="224">
        <f t="shared" si="22"/>
        <v>595157.9285</v>
      </c>
      <c r="U13" s="256"/>
      <c r="V13" s="226"/>
      <c r="W13" s="226"/>
      <c r="X13" s="226"/>
      <c r="Y13" s="226"/>
      <c r="Z13" s="274" t="s">
        <v>179</v>
      </c>
      <c r="AA13" s="275">
        <f t="shared" si="8"/>
        <v>111.3513516</v>
      </c>
      <c r="AB13" s="226"/>
      <c r="AC13" s="226"/>
      <c r="AD13" s="226"/>
      <c r="AE13" s="226"/>
      <c r="AF13" s="226"/>
      <c r="AG13" s="226"/>
      <c r="AH13" s="226"/>
      <c r="AI13" s="226"/>
      <c r="AJ13" s="226"/>
      <c r="AK13" s="226"/>
      <c r="AL13" s="226"/>
    </row>
    <row r="14">
      <c r="A14" s="263" t="s">
        <v>87</v>
      </c>
      <c r="B14" s="218" t="s">
        <v>183</v>
      </c>
      <c r="C14" s="264">
        <v>0.99</v>
      </c>
      <c r="D14" s="86">
        <v>63.0</v>
      </c>
      <c r="E14" s="276">
        <f t="shared" si="15"/>
        <v>0.6237</v>
      </c>
      <c r="F14" s="266">
        <v>15.0</v>
      </c>
      <c r="G14" s="267">
        <f t="shared" si="16"/>
        <v>0.093555</v>
      </c>
      <c r="H14" s="268">
        <f t="shared" si="2"/>
        <v>0.0945</v>
      </c>
      <c r="I14" s="269">
        <f t="shared" si="3"/>
        <v>12399.12351</v>
      </c>
      <c r="J14" s="256"/>
      <c r="K14" s="277">
        <v>9.1</v>
      </c>
      <c r="L14" s="278">
        <f t="shared" si="17"/>
        <v>0.09009</v>
      </c>
      <c r="M14" s="278">
        <f t="shared" si="18"/>
        <v>0.045045</v>
      </c>
      <c r="N14" s="269">
        <f t="shared" si="19"/>
        <v>8369.408369</v>
      </c>
      <c r="O14" s="271"/>
      <c r="P14" s="259">
        <f t="shared" si="23"/>
        <v>1068.889958</v>
      </c>
      <c r="Q14" s="272">
        <f t="shared" si="5"/>
        <v>148789.4821</v>
      </c>
      <c r="R14" s="273"/>
      <c r="S14" s="224">
        <f t="shared" si="21"/>
        <v>49596.49404</v>
      </c>
      <c r="T14" s="224">
        <f t="shared" si="22"/>
        <v>595157.9285</v>
      </c>
      <c r="U14" s="256"/>
      <c r="V14" s="226"/>
      <c r="W14" s="226"/>
      <c r="X14" s="226"/>
      <c r="Y14" s="226"/>
      <c r="Z14" s="274" t="s">
        <v>179</v>
      </c>
      <c r="AA14" s="275">
        <f t="shared" si="8"/>
        <v>111.3513516</v>
      </c>
      <c r="AB14" s="226"/>
      <c r="AC14" s="226"/>
      <c r="AD14" s="226"/>
      <c r="AE14" s="226"/>
      <c r="AF14" s="226"/>
      <c r="AG14" s="226"/>
      <c r="AH14" s="226"/>
      <c r="AI14" s="226"/>
      <c r="AJ14" s="226"/>
      <c r="AK14" s="226"/>
      <c r="AL14" s="226"/>
    </row>
    <row r="15">
      <c r="G15" s="279"/>
      <c r="J15" s="280"/>
      <c r="O15" s="281"/>
      <c r="R15" s="280"/>
      <c r="U15" s="280"/>
      <c r="Z15" s="282"/>
    </row>
    <row r="16" ht="6.0" customHeight="1">
      <c r="A16" s="283"/>
      <c r="B16" s="284"/>
      <c r="C16" s="285"/>
      <c r="D16" s="285"/>
      <c r="E16" s="285"/>
      <c r="F16" s="286"/>
      <c r="G16" s="287"/>
      <c r="H16" s="283"/>
      <c r="I16" s="288"/>
      <c r="J16" s="256"/>
      <c r="K16" s="289"/>
      <c r="L16" s="284"/>
      <c r="M16" s="284"/>
      <c r="N16" s="288"/>
      <c r="O16" s="271"/>
      <c r="P16" s="290"/>
      <c r="Q16" s="291"/>
      <c r="R16" s="273"/>
      <c r="S16" s="292"/>
      <c r="T16" s="292"/>
      <c r="U16" s="256"/>
      <c r="V16" s="284"/>
      <c r="W16" s="284"/>
      <c r="X16" s="284"/>
      <c r="Y16" s="284"/>
      <c r="Z16" s="293"/>
      <c r="AA16" s="294"/>
      <c r="AB16" s="284"/>
      <c r="AC16" s="284"/>
      <c r="AD16" s="284"/>
      <c r="AE16" s="284"/>
      <c r="AF16" s="284"/>
      <c r="AG16" s="284"/>
      <c r="AH16" s="284"/>
      <c r="AI16" s="284"/>
      <c r="AJ16" s="284"/>
      <c r="AK16" s="284"/>
      <c r="AL16" s="284"/>
    </row>
    <row r="17">
      <c r="A17" s="263" t="s">
        <v>188</v>
      </c>
      <c r="B17" s="218" t="s">
        <v>216</v>
      </c>
      <c r="C17" s="86" t="s">
        <v>57</v>
      </c>
      <c r="D17" s="86" t="s">
        <v>190</v>
      </c>
      <c r="E17" s="86">
        <v>0.0091</v>
      </c>
      <c r="F17" s="266">
        <v>100.0</v>
      </c>
      <c r="G17" s="295">
        <f t="shared" ref="G17:G19" si="24">SUM(E17*(F17/100))</f>
        <v>0.0091</v>
      </c>
      <c r="H17" s="296" t="s">
        <v>57</v>
      </c>
      <c r="I17" s="269">
        <f t="shared" ref="I17:I22" si="25">SUM(1160/G17)</f>
        <v>127472.5275</v>
      </c>
      <c r="J17" s="256"/>
      <c r="K17" s="277">
        <v>10.5</v>
      </c>
      <c r="L17" s="297">
        <v>0.0013</v>
      </c>
      <c r="M17" s="298">
        <f t="shared" ref="M17:M22" si="26">SUM(L17/2)</f>
        <v>0.00065</v>
      </c>
      <c r="N17" s="269">
        <f>SUM(1160/(G17+M17))</f>
        <v>118974.359</v>
      </c>
      <c r="O17" s="271"/>
      <c r="P17" s="259">
        <f>SUM(1000/E17)</f>
        <v>109890.1099</v>
      </c>
      <c r="Q17" s="272">
        <f>SUM(13920/G17)</f>
        <v>1529670.33</v>
      </c>
      <c r="R17" s="273"/>
      <c r="S17" s="224">
        <f>SUM(I17*4)</f>
        <v>509890.1099</v>
      </c>
      <c r="T17" s="224">
        <f>SUM(S17*12)</f>
        <v>6118681.319</v>
      </c>
      <c r="U17" s="256"/>
      <c r="V17" s="218">
        <v>12.99</v>
      </c>
      <c r="W17" s="299">
        <f>SUM(V17*12)</f>
        <v>155.88</v>
      </c>
      <c r="X17" s="224">
        <f>SUM(V17/E17)</f>
        <v>1427.472527</v>
      </c>
      <c r="Y17" s="224">
        <f>SUM(X17*12)</f>
        <v>17129.67033</v>
      </c>
      <c r="Z17" s="261"/>
      <c r="AA17" s="275">
        <f>SQRT(I17)</f>
        <v>357.0329501</v>
      </c>
      <c r="AB17" s="226"/>
      <c r="AC17" s="226"/>
      <c r="AD17" s="226"/>
      <c r="AE17" s="226"/>
      <c r="AF17" s="226"/>
      <c r="AG17" s="226"/>
      <c r="AH17" s="226"/>
      <c r="AI17" s="226"/>
      <c r="AJ17" s="226"/>
      <c r="AK17" s="226"/>
      <c r="AL17" s="226"/>
    </row>
    <row r="18">
      <c r="A18" s="263" t="s">
        <v>217</v>
      </c>
      <c r="B18" s="218" t="s">
        <v>216</v>
      </c>
      <c r="C18" s="226"/>
      <c r="D18" s="86" t="s">
        <v>190</v>
      </c>
      <c r="E18" s="86">
        <v>0.005</v>
      </c>
      <c r="F18" s="266">
        <v>15.0</v>
      </c>
      <c r="G18" s="295">
        <f t="shared" si="24"/>
        <v>0.00075</v>
      </c>
      <c r="H18" s="300"/>
      <c r="I18" s="269">
        <f t="shared" si="25"/>
        <v>1546666.667</v>
      </c>
      <c r="J18" s="256"/>
      <c r="K18" s="277">
        <v>10.5</v>
      </c>
      <c r="L18" s="297">
        <v>0.0013</v>
      </c>
      <c r="M18" s="298">
        <f t="shared" si="26"/>
        <v>0.00065</v>
      </c>
      <c r="N18" s="269">
        <f>SUM(1160/(E18+M18))</f>
        <v>205309.7345</v>
      </c>
      <c r="O18" s="271"/>
      <c r="P18" s="259">
        <f>SUM(100/E18)</f>
        <v>20000</v>
      </c>
      <c r="Q18" s="272">
        <f>SUM(13920/E18)</f>
        <v>2784000</v>
      </c>
      <c r="R18" s="256"/>
      <c r="S18" s="226"/>
      <c r="T18" s="226"/>
      <c r="U18" s="256"/>
      <c r="V18" s="226"/>
      <c r="W18" s="226"/>
      <c r="X18" s="226"/>
      <c r="Y18" s="226"/>
      <c r="Z18" s="274" t="s">
        <v>193</v>
      </c>
      <c r="AA18" s="261"/>
      <c r="AB18" s="226"/>
      <c r="AC18" s="226"/>
      <c r="AD18" s="226"/>
      <c r="AE18" s="226"/>
      <c r="AF18" s="226"/>
      <c r="AG18" s="226"/>
      <c r="AH18" s="226"/>
      <c r="AI18" s="226"/>
      <c r="AJ18" s="226"/>
      <c r="AK18" s="226"/>
      <c r="AL18" s="226"/>
    </row>
    <row r="19">
      <c r="A19" s="263" t="s">
        <v>191</v>
      </c>
      <c r="B19" s="218" t="s">
        <v>216</v>
      </c>
      <c r="C19" s="86" t="s">
        <v>57</v>
      </c>
      <c r="D19" s="86" t="s">
        <v>190</v>
      </c>
      <c r="E19" s="86">
        <v>0.0091</v>
      </c>
      <c r="F19" s="266">
        <v>15.0</v>
      </c>
      <c r="G19" s="295">
        <f t="shared" si="24"/>
        <v>0.001365</v>
      </c>
      <c r="H19" s="296" t="s">
        <v>57</v>
      </c>
      <c r="I19" s="269">
        <f t="shared" si="25"/>
        <v>849816.8498</v>
      </c>
      <c r="J19" s="256"/>
      <c r="K19" s="277">
        <v>10.5</v>
      </c>
      <c r="L19" s="297">
        <v>0.0013</v>
      </c>
      <c r="M19" s="298">
        <f t="shared" si="26"/>
        <v>0.00065</v>
      </c>
      <c r="N19" s="269">
        <f t="shared" ref="N19:N22" si="27">SUM(1160/(G19+M19))</f>
        <v>575682.3821</v>
      </c>
      <c r="O19" s="271"/>
      <c r="P19" s="259">
        <f>SUM(1000/E19)</f>
        <v>109890.1099</v>
      </c>
      <c r="Q19" s="272">
        <f t="shared" ref="Q19:Q22" si="28">SUM(13920/G19)</f>
        <v>10197802.2</v>
      </c>
      <c r="R19" s="273"/>
      <c r="S19" s="224">
        <f>SUM(I19*4)</f>
        <v>3399267.399</v>
      </c>
      <c r="T19" s="224">
        <f>SUM(S19*12)</f>
        <v>40791208.79</v>
      </c>
      <c r="U19" s="256"/>
      <c r="V19" s="218">
        <v>12.99</v>
      </c>
      <c r="W19" s="299">
        <f>SUM(V19*12)</f>
        <v>155.88</v>
      </c>
      <c r="X19" s="224">
        <f>SUM(V19/E19)</f>
        <v>1427.472527</v>
      </c>
      <c r="Y19" s="224">
        <f>SUM(X19*12)</f>
        <v>17129.67033</v>
      </c>
      <c r="Z19" s="261"/>
      <c r="AA19" s="275">
        <f>SQRT(I19)</f>
        <v>921.8551132</v>
      </c>
      <c r="AB19" s="226"/>
      <c r="AC19" s="226"/>
      <c r="AD19" s="226"/>
      <c r="AE19" s="226"/>
      <c r="AF19" s="226"/>
      <c r="AG19" s="226"/>
      <c r="AH19" s="226"/>
      <c r="AI19" s="226"/>
      <c r="AJ19" s="226"/>
      <c r="AK19" s="226"/>
      <c r="AL19" s="226"/>
    </row>
    <row r="20">
      <c r="A20" s="263" t="s">
        <v>218</v>
      </c>
      <c r="B20" s="218" t="s">
        <v>216</v>
      </c>
      <c r="C20" s="226"/>
      <c r="D20" s="86" t="s">
        <v>190</v>
      </c>
      <c r="F20" s="301"/>
      <c r="G20" s="296">
        <v>5.8E-4</v>
      </c>
      <c r="H20" s="302"/>
      <c r="I20" s="269">
        <f t="shared" si="25"/>
        <v>2000000</v>
      </c>
      <c r="J20" s="303"/>
      <c r="K20" s="277">
        <v>10.5</v>
      </c>
      <c r="L20" s="297">
        <v>0.0013</v>
      </c>
      <c r="M20" s="298">
        <f t="shared" si="26"/>
        <v>0.00065</v>
      </c>
      <c r="N20" s="269">
        <f t="shared" si="27"/>
        <v>943089.4309</v>
      </c>
      <c r="O20" s="271"/>
      <c r="P20" s="259">
        <f t="shared" ref="P20:P21" si="29">SUM(100/G20)</f>
        <v>172413.7931</v>
      </c>
      <c r="Q20" s="272">
        <f t="shared" si="28"/>
        <v>24000000</v>
      </c>
      <c r="R20" s="256"/>
      <c r="S20" s="226"/>
      <c r="T20" s="226"/>
      <c r="U20" s="256"/>
      <c r="V20" s="226"/>
      <c r="W20" s="226"/>
      <c r="X20" s="226"/>
      <c r="Y20" s="226"/>
      <c r="Z20" s="261"/>
      <c r="AA20" s="261"/>
      <c r="AB20" s="226"/>
      <c r="AC20" s="226"/>
      <c r="AD20" s="226"/>
      <c r="AE20" s="226"/>
      <c r="AF20" s="226"/>
      <c r="AG20" s="226"/>
      <c r="AH20" s="226"/>
      <c r="AI20" s="226"/>
      <c r="AJ20" s="226"/>
      <c r="AK20" s="226"/>
      <c r="AL20" s="226"/>
    </row>
    <row r="21">
      <c r="A21" s="263" t="s">
        <v>219</v>
      </c>
      <c r="B21" s="218" t="s">
        <v>216</v>
      </c>
      <c r="C21" s="226"/>
      <c r="D21" s="86" t="s">
        <v>190</v>
      </c>
      <c r="E21" s="89"/>
      <c r="F21" s="301"/>
      <c r="G21" s="296">
        <v>5.1E-4</v>
      </c>
      <c r="H21" s="300"/>
      <c r="I21" s="269">
        <f t="shared" si="25"/>
        <v>2274509.804</v>
      </c>
      <c r="J21" s="303"/>
      <c r="K21" s="277">
        <v>10.5</v>
      </c>
      <c r="L21" s="297">
        <v>0.0013</v>
      </c>
      <c r="M21" s="298">
        <f t="shared" si="26"/>
        <v>0.00065</v>
      </c>
      <c r="N21" s="269">
        <f t="shared" si="27"/>
        <v>1000000</v>
      </c>
      <c r="O21" s="271"/>
      <c r="P21" s="259">
        <f t="shared" si="29"/>
        <v>196078.4314</v>
      </c>
      <c r="Q21" s="272">
        <f t="shared" si="28"/>
        <v>27294117.65</v>
      </c>
      <c r="R21" s="256"/>
      <c r="S21" s="226"/>
      <c r="T21" s="226"/>
      <c r="U21" s="256"/>
      <c r="V21" s="226"/>
      <c r="W21" s="226"/>
      <c r="X21" s="226"/>
      <c r="Y21" s="226"/>
      <c r="Z21" s="274" t="s">
        <v>193</v>
      </c>
      <c r="AA21" s="261"/>
      <c r="AB21" s="226"/>
      <c r="AC21" s="226"/>
      <c r="AD21" s="226"/>
      <c r="AE21" s="226"/>
      <c r="AF21" s="226"/>
      <c r="AG21" s="226"/>
      <c r="AH21" s="226"/>
      <c r="AI21" s="226"/>
      <c r="AJ21" s="226"/>
      <c r="AK21" s="226"/>
      <c r="AL21" s="226"/>
    </row>
    <row r="22">
      <c r="A22" s="263" t="s">
        <v>220</v>
      </c>
      <c r="B22" s="218" t="s">
        <v>216</v>
      </c>
      <c r="C22" s="86" t="s">
        <v>57</v>
      </c>
      <c r="D22" s="86" t="s">
        <v>190</v>
      </c>
      <c r="E22" s="86">
        <v>0.0017</v>
      </c>
      <c r="F22" s="266">
        <v>15.0</v>
      </c>
      <c r="G22" s="295">
        <f>SUM(E22*(F22/100))</f>
        <v>0.000255</v>
      </c>
      <c r="H22" s="296" t="s">
        <v>57</v>
      </c>
      <c r="I22" s="269">
        <f t="shared" si="25"/>
        <v>4549019.608</v>
      </c>
      <c r="J22" s="256"/>
      <c r="K22" s="277">
        <v>10.5</v>
      </c>
      <c r="L22" s="297">
        <v>0.0013</v>
      </c>
      <c r="M22" s="298">
        <f t="shared" si="26"/>
        <v>0.00065</v>
      </c>
      <c r="N22" s="269">
        <f t="shared" si="27"/>
        <v>1281767.956</v>
      </c>
      <c r="O22" s="271"/>
      <c r="P22" s="259">
        <f>SUM(100/E22)</f>
        <v>58823.52941</v>
      </c>
      <c r="Q22" s="272">
        <f t="shared" si="28"/>
        <v>54588235.29</v>
      </c>
      <c r="R22" s="273"/>
      <c r="S22" s="224">
        <f>SUM(I22*4)</f>
        <v>18196078.43</v>
      </c>
      <c r="T22" s="224">
        <f>SUM(S22*12)</f>
        <v>218352941.2</v>
      </c>
      <c r="U22" s="256"/>
      <c r="V22" s="218">
        <v>15.28</v>
      </c>
      <c r="W22" s="299">
        <f>SUM(V22*12)</f>
        <v>183.36</v>
      </c>
      <c r="X22" s="224">
        <f>SUM(V22/E22)</f>
        <v>8988.235294</v>
      </c>
      <c r="Y22" s="224">
        <f>SUM(X22*12)</f>
        <v>107858.8235</v>
      </c>
      <c r="Z22" s="262" t="s">
        <v>197</v>
      </c>
      <c r="AA22" s="275">
        <f>SQRT(I22)</f>
        <v>2132.843081</v>
      </c>
      <c r="AB22" s="226"/>
      <c r="AC22" s="226"/>
      <c r="AD22" s="226"/>
      <c r="AE22" s="226"/>
      <c r="AF22" s="226"/>
      <c r="AG22" s="226"/>
      <c r="AH22" s="226"/>
      <c r="AI22" s="226"/>
      <c r="AJ22" s="226"/>
      <c r="AK22" s="226"/>
      <c r="AL22" s="226"/>
    </row>
    <row r="23">
      <c r="G23" s="279"/>
    </row>
    <row r="24" ht="6.0" customHeight="1">
      <c r="A24" s="304"/>
      <c r="B24" s="305"/>
      <c r="C24" s="306"/>
      <c r="D24" s="306"/>
      <c r="E24" s="307"/>
      <c r="F24" s="306"/>
      <c r="G24" s="308"/>
      <c r="H24" s="304"/>
      <c r="I24" s="309"/>
      <c r="J24" s="256"/>
      <c r="K24" s="310"/>
      <c r="L24" s="305"/>
      <c r="M24" s="305"/>
      <c r="N24" s="309"/>
      <c r="O24" s="258"/>
      <c r="P24" s="311"/>
      <c r="Q24" s="304"/>
      <c r="R24" s="256"/>
      <c r="S24" s="305"/>
      <c r="T24" s="305"/>
      <c r="U24" s="256"/>
      <c r="V24" s="305"/>
      <c r="W24" s="305"/>
      <c r="X24" s="305"/>
      <c r="Y24" s="305"/>
      <c r="Z24" s="312"/>
      <c r="AA24" s="312"/>
      <c r="AB24" s="305"/>
      <c r="AC24" s="305"/>
      <c r="AD24" s="305"/>
      <c r="AE24" s="305"/>
      <c r="AF24" s="305"/>
      <c r="AG24" s="305"/>
      <c r="AH24" s="305"/>
      <c r="AI24" s="305"/>
      <c r="AJ24" s="305"/>
      <c r="AK24" s="305"/>
      <c r="AL24" s="305"/>
    </row>
    <row r="25">
      <c r="A25" s="235"/>
      <c r="B25" s="226"/>
      <c r="C25" s="89"/>
      <c r="D25" s="89"/>
      <c r="E25" s="276"/>
      <c r="F25" s="89"/>
      <c r="G25" s="295"/>
      <c r="H25" s="235"/>
      <c r="I25" s="313"/>
      <c r="J25" s="256"/>
      <c r="K25" s="270"/>
      <c r="L25" s="226"/>
      <c r="M25" s="226"/>
      <c r="N25" s="313"/>
      <c r="O25" s="258"/>
      <c r="P25" s="259"/>
      <c r="Q25" s="235"/>
      <c r="R25" s="256"/>
      <c r="S25" s="226"/>
      <c r="T25" s="226"/>
      <c r="U25" s="256"/>
      <c r="V25" s="226"/>
      <c r="W25" s="226"/>
      <c r="X25" s="226"/>
      <c r="Y25" s="226"/>
      <c r="Z25" s="261"/>
      <c r="AA25" s="261"/>
      <c r="AB25" s="226"/>
      <c r="AC25" s="226"/>
      <c r="AD25" s="226"/>
      <c r="AE25" s="226"/>
      <c r="AF25" s="226"/>
      <c r="AG25" s="226"/>
      <c r="AH25" s="226"/>
      <c r="AI25" s="226"/>
      <c r="AJ25" s="226"/>
      <c r="AK25" s="226"/>
      <c r="AL25" s="226"/>
    </row>
    <row r="26">
      <c r="A26" s="218" t="s">
        <v>221</v>
      </c>
      <c r="B26" s="226"/>
      <c r="C26" s="89"/>
      <c r="D26" s="89"/>
      <c r="E26" s="276"/>
      <c r="F26" s="89"/>
      <c r="G26" s="295"/>
      <c r="H26" s="235"/>
      <c r="I26" s="313"/>
      <c r="J26" s="256"/>
      <c r="K26" s="270"/>
      <c r="L26" s="226"/>
      <c r="M26" s="226"/>
      <c r="N26" s="313"/>
      <c r="O26" s="258"/>
      <c r="P26" s="259"/>
      <c r="Q26" s="235"/>
      <c r="R26" s="256"/>
      <c r="S26" s="226"/>
      <c r="T26" s="226"/>
      <c r="U26" s="256"/>
      <c r="V26" s="226"/>
      <c r="W26" s="226"/>
      <c r="X26" s="226"/>
      <c r="Y26" s="226"/>
      <c r="Z26" s="261"/>
      <c r="AA26" s="261"/>
      <c r="AB26" s="226"/>
      <c r="AC26" s="226"/>
      <c r="AD26" s="226"/>
      <c r="AE26" s="226"/>
      <c r="AF26" s="226"/>
      <c r="AG26" s="226"/>
      <c r="AH26" s="226"/>
      <c r="AI26" s="226"/>
      <c r="AJ26" s="226"/>
      <c r="AK26" s="226"/>
      <c r="AL26" s="226"/>
    </row>
    <row r="27">
      <c r="A27" s="235"/>
      <c r="B27" s="226"/>
      <c r="C27" s="89"/>
      <c r="D27" s="89"/>
      <c r="E27" s="276"/>
      <c r="F27" s="89"/>
      <c r="G27" s="295"/>
      <c r="H27" s="235"/>
      <c r="I27" s="313"/>
      <c r="J27" s="256"/>
      <c r="K27" s="270"/>
      <c r="L27" s="226"/>
      <c r="M27" s="226"/>
      <c r="N27" s="313"/>
      <c r="O27" s="258"/>
      <c r="P27" s="259"/>
      <c r="Q27" s="235"/>
      <c r="R27" s="256"/>
      <c r="S27" s="226"/>
      <c r="T27" s="226"/>
      <c r="U27" s="256"/>
      <c r="V27" s="226"/>
      <c r="W27" s="226"/>
      <c r="X27" s="226"/>
      <c r="Y27" s="226"/>
      <c r="Z27" s="261"/>
      <c r="AA27" s="261"/>
      <c r="AB27" s="226"/>
      <c r="AC27" s="226"/>
      <c r="AD27" s="226"/>
      <c r="AE27" s="226"/>
      <c r="AF27" s="226"/>
      <c r="AG27" s="226"/>
      <c r="AH27" s="226"/>
      <c r="AI27" s="226"/>
      <c r="AJ27" s="226"/>
      <c r="AK27" s="226"/>
      <c r="AL27" s="226"/>
    </row>
    <row r="28">
      <c r="A28" s="235"/>
      <c r="B28" s="226"/>
      <c r="C28" s="89"/>
      <c r="D28" s="89"/>
      <c r="E28" s="276"/>
      <c r="F28" s="89"/>
      <c r="G28" s="295"/>
      <c r="H28" s="235"/>
      <c r="I28" s="313"/>
      <c r="J28" s="256"/>
      <c r="K28" s="270"/>
      <c r="L28" s="226"/>
      <c r="M28" s="226"/>
      <c r="N28" s="313"/>
      <c r="O28" s="258"/>
      <c r="P28" s="259"/>
      <c r="Q28" s="235"/>
      <c r="R28" s="256"/>
      <c r="S28" s="226"/>
      <c r="T28" s="226"/>
      <c r="U28" s="256"/>
      <c r="V28" s="226"/>
      <c r="W28" s="226"/>
      <c r="X28" s="226"/>
      <c r="Y28" s="226"/>
      <c r="Z28" s="261"/>
      <c r="AA28" s="261"/>
      <c r="AB28" s="226"/>
      <c r="AC28" s="226"/>
      <c r="AD28" s="226"/>
      <c r="AE28" s="226"/>
      <c r="AF28" s="226"/>
      <c r="AG28" s="226"/>
      <c r="AH28" s="226"/>
      <c r="AI28" s="226"/>
      <c r="AJ28" s="226"/>
      <c r="AK28" s="226"/>
      <c r="AL28" s="226"/>
    </row>
    <row r="29">
      <c r="A29" s="235"/>
      <c r="B29" s="226"/>
      <c r="C29" s="89"/>
      <c r="D29" s="89"/>
      <c r="E29" s="276"/>
      <c r="F29" s="89"/>
      <c r="G29" s="295"/>
      <c r="H29" s="235"/>
      <c r="I29" s="313"/>
      <c r="J29" s="256"/>
      <c r="K29" s="270"/>
      <c r="L29" s="226"/>
      <c r="M29" s="226"/>
      <c r="N29" s="313"/>
      <c r="O29" s="258"/>
      <c r="P29" s="259"/>
      <c r="Q29" s="235"/>
      <c r="R29" s="256"/>
      <c r="S29" s="226"/>
      <c r="T29" s="226"/>
      <c r="U29" s="256"/>
      <c r="V29" s="226"/>
      <c r="W29" s="226"/>
      <c r="X29" s="226"/>
      <c r="Y29" s="226"/>
      <c r="Z29" s="261"/>
      <c r="AA29" s="261"/>
      <c r="AB29" s="226"/>
      <c r="AC29" s="226"/>
      <c r="AD29" s="226"/>
      <c r="AE29" s="226"/>
      <c r="AF29" s="226"/>
      <c r="AG29" s="226"/>
      <c r="AH29" s="226"/>
      <c r="AI29" s="226"/>
      <c r="AJ29" s="226"/>
      <c r="AK29" s="226"/>
      <c r="AL29" s="226"/>
    </row>
    <row r="30">
      <c r="A30" s="235"/>
      <c r="B30" s="226"/>
      <c r="C30" s="89"/>
      <c r="D30" s="89"/>
      <c r="E30" s="276"/>
      <c r="F30" s="89"/>
      <c r="G30" s="295"/>
      <c r="H30" s="235"/>
      <c r="I30" s="313"/>
      <c r="J30" s="256"/>
      <c r="K30" s="270"/>
      <c r="L30" s="226"/>
      <c r="M30" s="226"/>
      <c r="N30" s="313"/>
      <c r="O30" s="258"/>
      <c r="P30" s="259"/>
      <c r="Q30" s="235"/>
      <c r="R30" s="256"/>
      <c r="S30" s="226"/>
      <c r="T30" s="226"/>
      <c r="U30" s="256"/>
      <c r="V30" s="226"/>
      <c r="W30" s="226"/>
      <c r="X30" s="226"/>
      <c r="Y30" s="226"/>
      <c r="Z30" s="261"/>
      <c r="AA30" s="261"/>
      <c r="AB30" s="226"/>
      <c r="AC30" s="226"/>
      <c r="AD30" s="226"/>
      <c r="AE30" s="226"/>
      <c r="AF30" s="226"/>
      <c r="AG30" s="226"/>
      <c r="AH30" s="226"/>
      <c r="AI30" s="226"/>
      <c r="AJ30" s="226"/>
      <c r="AK30" s="226"/>
      <c r="AL30" s="226"/>
    </row>
    <row r="31">
      <c r="A31" s="235"/>
      <c r="B31" s="226"/>
      <c r="C31" s="89"/>
      <c r="D31" s="89"/>
      <c r="E31" s="276"/>
      <c r="F31" s="89"/>
      <c r="G31" s="295"/>
      <c r="H31" s="235"/>
      <c r="I31" s="313"/>
      <c r="J31" s="256"/>
      <c r="K31" s="270"/>
      <c r="L31" s="226"/>
      <c r="M31" s="226"/>
      <c r="N31" s="313"/>
      <c r="O31" s="258"/>
      <c r="P31" s="259"/>
      <c r="Q31" s="235"/>
      <c r="R31" s="256"/>
      <c r="S31" s="226"/>
      <c r="T31" s="226"/>
      <c r="U31" s="256"/>
      <c r="V31" s="226"/>
      <c r="W31" s="226"/>
      <c r="X31" s="226"/>
      <c r="Y31" s="226"/>
      <c r="Z31" s="261"/>
      <c r="AA31" s="261"/>
      <c r="AB31" s="226"/>
      <c r="AC31" s="226"/>
      <c r="AD31" s="226"/>
      <c r="AE31" s="226"/>
      <c r="AF31" s="226"/>
      <c r="AG31" s="226"/>
      <c r="AH31" s="226"/>
      <c r="AI31" s="226"/>
      <c r="AJ31" s="226"/>
      <c r="AK31" s="226"/>
      <c r="AL31" s="226"/>
    </row>
    <row r="32">
      <c r="A32" s="235"/>
      <c r="B32" s="226"/>
      <c r="C32" s="89"/>
      <c r="D32" s="89"/>
      <c r="E32" s="276"/>
      <c r="F32" s="89"/>
      <c r="G32" s="295"/>
      <c r="H32" s="235"/>
      <c r="I32" s="313"/>
      <c r="J32" s="256"/>
      <c r="K32" s="270"/>
      <c r="L32" s="226"/>
      <c r="M32" s="226"/>
      <c r="N32" s="313"/>
      <c r="O32" s="258"/>
      <c r="P32" s="259"/>
      <c r="Q32" s="235"/>
      <c r="R32" s="256"/>
      <c r="S32" s="226"/>
      <c r="T32" s="226"/>
      <c r="U32" s="256"/>
      <c r="V32" s="226"/>
      <c r="W32" s="226"/>
      <c r="X32" s="226"/>
      <c r="Y32" s="226"/>
      <c r="Z32" s="261"/>
      <c r="AA32" s="261"/>
      <c r="AB32" s="226"/>
      <c r="AC32" s="226"/>
      <c r="AD32" s="226"/>
      <c r="AE32" s="226"/>
      <c r="AF32" s="226"/>
      <c r="AG32" s="226"/>
      <c r="AH32" s="226"/>
      <c r="AI32" s="226"/>
      <c r="AJ32" s="226"/>
      <c r="AK32" s="226"/>
      <c r="AL32" s="226"/>
    </row>
    <row r="33">
      <c r="A33" s="235"/>
      <c r="B33" s="226"/>
      <c r="C33" s="89"/>
      <c r="D33" s="89"/>
      <c r="E33" s="276"/>
      <c r="F33" s="89"/>
      <c r="G33" s="295"/>
      <c r="H33" s="235"/>
      <c r="I33" s="313"/>
      <c r="J33" s="256"/>
      <c r="K33" s="270"/>
      <c r="L33" s="226"/>
      <c r="M33" s="226"/>
      <c r="N33" s="313"/>
      <c r="O33" s="258"/>
      <c r="P33" s="259"/>
      <c r="Q33" s="235"/>
      <c r="R33" s="256"/>
      <c r="S33" s="226"/>
      <c r="T33" s="226"/>
      <c r="U33" s="256"/>
      <c r="V33" s="226"/>
      <c r="W33" s="226"/>
      <c r="X33" s="226"/>
      <c r="Y33" s="226"/>
      <c r="Z33" s="261"/>
      <c r="AA33" s="261"/>
      <c r="AB33" s="226"/>
      <c r="AC33" s="226"/>
      <c r="AD33" s="226"/>
      <c r="AE33" s="226"/>
      <c r="AF33" s="226"/>
      <c r="AG33" s="226"/>
      <c r="AH33" s="226"/>
      <c r="AI33" s="226"/>
      <c r="AJ33" s="226"/>
      <c r="AK33" s="226"/>
      <c r="AL33" s="226"/>
    </row>
    <row r="34">
      <c r="A34" s="235"/>
      <c r="B34" s="226"/>
      <c r="C34" s="89"/>
      <c r="D34" s="89"/>
      <c r="E34" s="276"/>
      <c r="F34" s="89"/>
      <c r="G34" s="295"/>
      <c r="H34" s="235"/>
      <c r="I34" s="313"/>
      <c r="J34" s="256"/>
      <c r="K34" s="270"/>
      <c r="L34" s="226"/>
      <c r="M34" s="226"/>
      <c r="N34" s="313"/>
      <c r="O34" s="258"/>
      <c r="P34" s="259"/>
      <c r="Q34" s="235"/>
      <c r="R34" s="256"/>
      <c r="S34" s="226"/>
      <c r="T34" s="226"/>
      <c r="U34" s="256"/>
      <c r="V34" s="226"/>
      <c r="W34" s="226"/>
      <c r="X34" s="226"/>
      <c r="Y34" s="226"/>
      <c r="Z34" s="261"/>
      <c r="AA34" s="261"/>
      <c r="AB34" s="226"/>
      <c r="AC34" s="226"/>
      <c r="AD34" s="226"/>
      <c r="AE34" s="226"/>
      <c r="AF34" s="226"/>
      <c r="AG34" s="226"/>
      <c r="AH34" s="226"/>
      <c r="AI34" s="226"/>
      <c r="AJ34" s="226"/>
      <c r="AK34" s="226"/>
      <c r="AL34" s="226"/>
    </row>
    <row r="35">
      <c r="A35" s="235"/>
      <c r="B35" s="226"/>
      <c r="C35" s="89"/>
      <c r="D35" s="89"/>
      <c r="E35" s="276"/>
      <c r="F35" s="89"/>
      <c r="G35" s="295"/>
      <c r="H35" s="235"/>
      <c r="I35" s="313"/>
      <c r="J35" s="256"/>
      <c r="K35" s="270"/>
      <c r="L35" s="226"/>
      <c r="M35" s="226"/>
      <c r="N35" s="313"/>
      <c r="O35" s="258"/>
      <c r="P35" s="259"/>
      <c r="Q35" s="235"/>
      <c r="R35" s="256"/>
      <c r="S35" s="226"/>
      <c r="T35" s="226"/>
      <c r="U35" s="256"/>
      <c r="V35" s="226"/>
      <c r="W35" s="226"/>
      <c r="X35" s="226"/>
      <c r="Y35" s="226"/>
      <c r="Z35" s="261"/>
      <c r="AA35" s="261"/>
      <c r="AB35" s="226"/>
      <c r="AC35" s="226"/>
      <c r="AD35" s="226"/>
      <c r="AE35" s="226"/>
      <c r="AF35" s="226"/>
      <c r="AG35" s="226"/>
      <c r="AH35" s="226"/>
      <c r="AI35" s="226"/>
      <c r="AJ35" s="226"/>
      <c r="AK35" s="226"/>
      <c r="AL35" s="226"/>
    </row>
    <row r="36">
      <c r="A36" s="235"/>
      <c r="B36" s="226"/>
      <c r="C36" s="89"/>
      <c r="D36" s="89"/>
      <c r="E36" s="276"/>
      <c r="F36" s="89"/>
      <c r="G36" s="295"/>
      <c r="H36" s="235"/>
      <c r="I36" s="313"/>
      <c r="J36" s="256"/>
      <c r="K36" s="270"/>
      <c r="L36" s="226"/>
      <c r="M36" s="226"/>
      <c r="N36" s="313"/>
      <c r="O36" s="258"/>
      <c r="P36" s="259"/>
      <c r="Q36" s="235"/>
      <c r="R36" s="256"/>
      <c r="S36" s="226"/>
      <c r="T36" s="226"/>
      <c r="U36" s="256"/>
      <c r="V36" s="226"/>
      <c r="W36" s="226"/>
      <c r="X36" s="226"/>
      <c r="Y36" s="226"/>
      <c r="Z36" s="261"/>
      <c r="AA36" s="261"/>
      <c r="AB36" s="226"/>
      <c r="AC36" s="226"/>
      <c r="AD36" s="226"/>
      <c r="AE36" s="226"/>
      <c r="AF36" s="226"/>
      <c r="AG36" s="226"/>
      <c r="AH36" s="226"/>
      <c r="AI36" s="226"/>
      <c r="AJ36" s="226"/>
      <c r="AK36" s="226"/>
      <c r="AL36" s="226"/>
    </row>
    <row r="37">
      <c r="A37" s="235"/>
      <c r="B37" s="226"/>
      <c r="C37" s="89"/>
      <c r="D37" s="89"/>
      <c r="E37" s="276"/>
      <c r="F37" s="89"/>
      <c r="G37" s="295"/>
      <c r="H37" s="235"/>
      <c r="I37" s="313"/>
      <c r="J37" s="256"/>
      <c r="K37" s="270"/>
      <c r="L37" s="226"/>
      <c r="M37" s="226"/>
      <c r="N37" s="313"/>
      <c r="O37" s="258"/>
      <c r="P37" s="259"/>
      <c r="Q37" s="235"/>
      <c r="R37" s="256"/>
      <c r="S37" s="226"/>
      <c r="T37" s="226"/>
      <c r="U37" s="256"/>
      <c r="V37" s="226"/>
      <c r="W37" s="226"/>
      <c r="X37" s="226"/>
      <c r="Y37" s="226"/>
      <c r="Z37" s="261"/>
      <c r="AA37" s="261"/>
      <c r="AB37" s="226"/>
      <c r="AC37" s="226"/>
      <c r="AD37" s="226"/>
      <c r="AE37" s="226"/>
      <c r="AF37" s="226"/>
      <c r="AG37" s="226"/>
      <c r="AH37" s="226"/>
      <c r="AI37" s="226"/>
      <c r="AJ37" s="226"/>
      <c r="AK37" s="226"/>
      <c r="AL37" s="226"/>
    </row>
    <row r="38">
      <c r="A38" s="235"/>
      <c r="B38" s="226"/>
      <c r="C38" s="89"/>
      <c r="D38" s="89"/>
      <c r="E38" s="276"/>
      <c r="F38" s="89"/>
      <c r="G38" s="295"/>
      <c r="H38" s="235"/>
      <c r="I38" s="313"/>
      <c r="J38" s="256"/>
      <c r="K38" s="270"/>
      <c r="L38" s="226"/>
      <c r="M38" s="226"/>
      <c r="N38" s="313"/>
      <c r="O38" s="258"/>
      <c r="P38" s="259"/>
      <c r="Q38" s="235"/>
      <c r="R38" s="256"/>
      <c r="S38" s="226"/>
      <c r="T38" s="226"/>
      <c r="U38" s="256"/>
      <c r="V38" s="226"/>
      <c r="W38" s="226"/>
      <c r="X38" s="226"/>
      <c r="Y38" s="226"/>
      <c r="Z38" s="261"/>
      <c r="AA38" s="261"/>
      <c r="AB38" s="226"/>
      <c r="AC38" s="226"/>
      <c r="AD38" s="226"/>
      <c r="AE38" s="226"/>
      <c r="AF38" s="226"/>
      <c r="AG38" s="226"/>
      <c r="AH38" s="226"/>
      <c r="AI38" s="226"/>
      <c r="AJ38" s="226"/>
      <c r="AK38" s="226"/>
      <c r="AL38" s="226"/>
    </row>
    <row r="39">
      <c r="A39" s="235"/>
      <c r="B39" s="226"/>
      <c r="C39" s="89"/>
      <c r="D39" s="89"/>
      <c r="E39" s="276"/>
      <c r="F39" s="89"/>
      <c r="G39" s="295"/>
      <c r="H39" s="235"/>
      <c r="I39" s="313"/>
      <c r="J39" s="256"/>
      <c r="K39" s="270"/>
      <c r="L39" s="226"/>
      <c r="M39" s="226"/>
      <c r="N39" s="313"/>
      <c r="O39" s="258"/>
      <c r="P39" s="259"/>
      <c r="Q39" s="235"/>
      <c r="R39" s="256"/>
      <c r="S39" s="226"/>
      <c r="T39" s="226"/>
      <c r="U39" s="256"/>
      <c r="V39" s="226"/>
      <c r="W39" s="226"/>
      <c r="X39" s="226"/>
      <c r="Y39" s="226"/>
      <c r="Z39" s="261"/>
      <c r="AA39" s="261"/>
      <c r="AB39" s="226"/>
      <c r="AC39" s="226"/>
      <c r="AD39" s="226"/>
      <c r="AE39" s="226"/>
      <c r="AF39" s="226"/>
      <c r="AG39" s="226"/>
      <c r="AH39" s="226"/>
      <c r="AI39" s="226"/>
      <c r="AJ39" s="226"/>
      <c r="AK39" s="226"/>
      <c r="AL39" s="226"/>
    </row>
    <row r="40">
      <c r="A40" s="235"/>
      <c r="B40" s="226"/>
      <c r="C40" s="89"/>
      <c r="D40" s="89"/>
      <c r="E40" s="276"/>
      <c r="F40" s="89"/>
      <c r="G40" s="295"/>
      <c r="H40" s="235"/>
      <c r="I40" s="313"/>
      <c r="J40" s="256"/>
      <c r="K40" s="270"/>
      <c r="L40" s="226"/>
      <c r="M40" s="226"/>
      <c r="N40" s="313"/>
      <c r="O40" s="258"/>
      <c r="P40" s="259"/>
      <c r="Q40" s="235"/>
      <c r="R40" s="256"/>
      <c r="S40" s="226"/>
      <c r="T40" s="226"/>
      <c r="U40" s="256"/>
      <c r="V40" s="226"/>
      <c r="W40" s="226"/>
      <c r="X40" s="226"/>
      <c r="Y40" s="226"/>
      <c r="Z40" s="261"/>
      <c r="AA40" s="261"/>
      <c r="AB40" s="226"/>
      <c r="AC40" s="226"/>
      <c r="AD40" s="226"/>
      <c r="AE40" s="226"/>
      <c r="AF40" s="226"/>
      <c r="AG40" s="226"/>
      <c r="AH40" s="226"/>
      <c r="AI40" s="226"/>
      <c r="AJ40" s="226"/>
      <c r="AK40" s="226"/>
      <c r="AL40" s="226"/>
    </row>
    <row r="41">
      <c r="A41" s="235"/>
      <c r="B41" s="226"/>
      <c r="C41" s="89"/>
      <c r="D41" s="89"/>
      <c r="E41" s="276"/>
      <c r="F41" s="89"/>
      <c r="G41" s="295"/>
      <c r="H41" s="235"/>
      <c r="I41" s="313"/>
      <c r="J41" s="256"/>
      <c r="K41" s="270"/>
      <c r="L41" s="226"/>
      <c r="M41" s="226"/>
      <c r="N41" s="313"/>
      <c r="O41" s="258"/>
      <c r="P41" s="259"/>
      <c r="Q41" s="235"/>
      <c r="R41" s="256"/>
      <c r="S41" s="226"/>
      <c r="T41" s="226"/>
      <c r="U41" s="256"/>
      <c r="V41" s="226"/>
      <c r="W41" s="226"/>
      <c r="X41" s="226"/>
      <c r="Y41" s="226"/>
      <c r="Z41" s="261"/>
      <c r="AA41" s="261"/>
      <c r="AB41" s="226"/>
      <c r="AC41" s="226"/>
      <c r="AD41" s="226"/>
      <c r="AE41" s="226"/>
      <c r="AF41" s="226"/>
      <c r="AG41" s="226"/>
      <c r="AH41" s="226"/>
      <c r="AI41" s="226"/>
      <c r="AJ41" s="226"/>
      <c r="AK41" s="226"/>
      <c r="AL41" s="226"/>
    </row>
    <row r="42">
      <c r="A42" s="235"/>
      <c r="B42" s="226"/>
      <c r="C42" s="89"/>
      <c r="D42" s="89"/>
      <c r="E42" s="276"/>
      <c r="F42" s="89"/>
      <c r="G42" s="295"/>
      <c r="H42" s="235"/>
      <c r="I42" s="313"/>
      <c r="J42" s="256"/>
      <c r="K42" s="270"/>
      <c r="L42" s="226"/>
      <c r="M42" s="226"/>
      <c r="N42" s="313"/>
      <c r="O42" s="258"/>
      <c r="P42" s="259"/>
      <c r="Q42" s="235"/>
      <c r="R42" s="256"/>
      <c r="S42" s="226"/>
      <c r="T42" s="226"/>
      <c r="U42" s="256"/>
      <c r="V42" s="226"/>
      <c r="W42" s="226"/>
      <c r="X42" s="226"/>
      <c r="Y42" s="226"/>
      <c r="Z42" s="261"/>
      <c r="AA42" s="261"/>
      <c r="AB42" s="226"/>
      <c r="AC42" s="226"/>
      <c r="AD42" s="226"/>
      <c r="AE42" s="226"/>
      <c r="AF42" s="226"/>
      <c r="AG42" s="226"/>
      <c r="AH42" s="226"/>
      <c r="AI42" s="226"/>
      <c r="AJ42" s="226"/>
      <c r="AK42" s="226"/>
      <c r="AL42" s="226"/>
    </row>
    <row r="43">
      <c r="A43" s="235"/>
      <c r="B43" s="226"/>
      <c r="C43" s="89"/>
      <c r="D43" s="89"/>
      <c r="E43" s="276"/>
      <c r="F43" s="89"/>
      <c r="G43" s="295"/>
      <c r="H43" s="235"/>
      <c r="I43" s="313"/>
      <c r="J43" s="256"/>
      <c r="K43" s="270"/>
      <c r="L43" s="226"/>
      <c r="M43" s="226"/>
      <c r="N43" s="313"/>
      <c r="O43" s="258"/>
      <c r="P43" s="259"/>
      <c r="Q43" s="235"/>
      <c r="R43" s="256"/>
      <c r="S43" s="226"/>
      <c r="T43" s="226"/>
      <c r="U43" s="256"/>
      <c r="V43" s="226"/>
      <c r="W43" s="226"/>
      <c r="X43" s="226"/>
      <c r="Y43" s="226"/>
      <c r="Z43" s="261"/>
      <c r="AA43" s="261"/>
      <c r="AB43" s="226"/>
      <c r="AC43" s="226"/>
      <c r="AD43" s="226"/>
      <c r="AE43" s="226"/>
      <c r="AF43" s="226"/>
      <c r="AG43" s="226"/>
      <c r="AH43" s="226"/>
      <c r="AI43" s="226"/>
      <c r="AJ43" s="226"/>
      <c r="AK43" s="226"/>
      <c r="AL43" s="226"/>
    </row>
    <row r="44">
      <c r="A44" s="235"/>
      <c r="B44" s="226"/>
      <c r="C44" s="89"/>
      <c r="D44" s="89"/>
      <c r="E44" s="276"/>
      <c r="F44" s="89"/>
      <c r="G44" s="295"/>
      <c r="H44" s="235"/>
      <c r="I44" s="313"/>
      <c r="J44" s="256"/>
      <c r="K44" s="270"/>
      <c r="L44" s="226"/>
      <c r="M44" s="226"/>
      <c r="N44" s="313"/>
      <c r="O44" s="258"/>
      <c r="P44" s="259"/>
      <c r="Q44" s="235"/>
      <c r="R44" s="256"/>
      <c r="S44" s="226"/>
      <c r="T44" s="226"/>
      <c r="U44" s="256"/>
      <c r="V44" s="226"/>
      <c r="W44" s="226"/>
      <c r="X44" s="226"/>
      <c r="Y44" s="226"/>
      <c r="Z44" s="261"/>
      <c r="AA44" s="261"/>
      <c r="AB44" s="226"/>
      <c r="AC44" s="226"/>
      <c r="AD44" s="226"/>
      <c r="AE44" s="226"/>
      <c r="AF44" s="226"/>
      <c r="AG44" s="226"/>
      <c r="AH44" s="226"/>
      <c r="AI44" s="226"/>
      <c r="AJ44" s="226"/>
      <c r="AK44" s="226"/>
      <c r="AL44" s="226"/>
    </row>
    <row r="45">
      <c r="A45" s="235"/>
      <c r="B45" s="226"/>
      <c r="C45" s="89"/>
      <c r="D45" s="89"/>
      <c r="E45" s="276"/>
      <c r="F45" s="89"/>
      <c r="G45" s="295"/>
      <c r="H45" s="235"/>
      <c r="I45" s="313"/>
      <c r="J45" s="256"/>
      <c r="K45" s="270"/>
      <c r="L45" s="226"/>
      <c r="M45" s="226"/>
      <c r="N45" s="313"/>
      <c r="O45" s="258"/>
      <c r="P45" s="259"/>
      <c r="Q45" s="235"/>
      <c r="R45" s="256"/>
      <c r="S45" s="226"/>
      <c r="T45" s="226"/>
      <c r="U45" s="256"/>
      <c r="V45" s="226"/>
      <c r="W45" s="226"/>
      <c r="X45" s="226"/>
      <c r="Y45" s="226"/>
      <c r="Z45" s="261"/>
      <c r="AA45" s="261"/>
      <c r="AB45" s="226"/>
      <c r="AC45" s="226"/>
      <c r="AD45" s="226"/>
      <c r="AE45" s="226"/>
      <c r="AF45" s="226"/>
      <c r="AG45" s="226"/>
      <c r="AH45" s="226"/>
      <c r="AI45" s="226"/>
      <c r="AJ45" s="226"/>
      <c r="AK45" s="226"/>
      <c r="AL45" s="226"/>
    </row>
    <row r="46">
      <c r="A46" s="235"/>
      <c r="B46" s="226"/>
      <c r="C46" s="89"/>
      <c r="D46" s="89"/>
      <c r="E46" s="276"/>
      <c r="F46" s="89"/>
      <c r="G46" s="295"/>
      <c r="H46" s="235"/>
      <c r="I46" s="313"/>
      <c r="J46" s="256"/>
      <c r="K46" s="270"/>
      <c r="L46" s="226"/>
      <c r="M46" s="226"/>
      <c r="N46" s="313"/>
      <c r="O46" s="258"/>
      <c r="P46" s="259"/>
      <c r="Q46" s="235"/>
      <c r="R46" s="256"/>
      <c r="S46" s="226"/>
      <c r="T46" s="226"/>
      <c r="U46" s="256"/>
      <c r="V46" s="226"/>
      <c r="W46" s="226"/>
      <c r="X46" s="226"/>
      <c r="Y46" s="226"/>
      <c r="Z46" s="261"/>
      <c r="AA46" s="261"/>
      <c r="AB46" s="226"/>
      <c r="AC46" s="226"/>
      <c r="AD46" s="226"/>
      <c r="AE46" s="226"/>
      <c r="AF46" s="226"/>
      <c r="AG46" s="226"/>
      <c r="AH46" s="226"/>
      <c r="AI46" s="226"/>
      <c r="AJ46" s="226"/>
      <c r="AK46" s="226"/>
      <c r="AL46" s="226"/>
    </row>
    <row r="47">
      <c r="A47" s="235"/>
      <c r="B47" s="226"/>
      <c r="C47" s="89"/>
      <c r="D47" s="89"/>
      <c r="E47" s="276"/>
      <c r="F47" s="89"/>
      <c r="G47" s="295"/>
      <c r="H47" s="235"/>
      <c r="I47" s="313"/>
      <c r="J47" s="256"/>
      <c r="K47" s="270"/>
      <c r="L47" s="226"/>
      <c r="M47" s="226"/>
      <c r="N47" s="313"/>
      <c r="O47" s="258"/>
      <c r="P47" s="259"/>
      <c r="Q47" s="235"/>
      <c r="R47" s="256"/>
      <c r="S47" s="226"/>
      <c r="T47" s="226"/>
      <c r="U47" s="256"/>
      <c r="V47" s="226"/>
      <c r="W47" s="226"/>
      <c r="X47" s="226"/>
      <c r="Y47" s="226"/>
      <c r="Z47" s="261"/>
      <c r="AA47" s="261"/>
      <c r="AB47" s="226"/>
      <c r="AC47" s="226"/>
      <c r="AD47" s="226"/>
      <c r="AE47" s="226"/>
      <c r="AF47" s="226"/>
      <c r="AG47" s="226"/>
      <c r="AH47" s="226"/>
      <c r="AI47" s="226"/>
      <c r="AJ47" s="226"/>
      <c r="AK47" s="226"/>
      <c r="AL47" s="226"/>
    </row>
    <row r="48">
      <c r="A48" s="235"/>
      <c r="B48" s="226"/>
      <c r="C48" s="89"/>
      <c r="D48" s="89"/>
      <c r="E48" s="276"/>
      <c r="F48" s="89"/>
      <c r="G48" s="295"/>
      <c r="H48" s="235"/>
      <c r="I48" s="313"/>
      <c r="J48" s="256"/>
      <c r="K48" s="270"/>
      <c r="L48" s="226"/>
      <c r="M48" s="226"/>
      <c r="N48" s="313"/>
      <c r="O48" s="258"/>
      <c r="P48" s="259"/>
      <c r="Q48" s="235"/>
      <c r="R48" s="256"/>
      <c r="S48" s="226"/>
      <c r="T48" s="226"/>
      <c r="U48" s="256"/>
      <c r="V48" s="226"/>
      <c r="W48" s="226"/>
      <c r="X48" s="226"/>
      <c r="Y48" s="226"/>
      <c r="Z48" s="261"/>
      <c r="AA48" s="261"/>
      <c r="AB48" s="226"/>
      <c r="AC48" s="226"/>
      <c r="AD48" s="226"/>
      <c r="AE48" s="226"/>
      <c r="AF48" s="226"/>
      <c r="AG48" s="226"/>
      <c r="AH48" s="226"/>
      <c r="AI48" s="226"/>
      <c r="AJ48" s="226"/>
      <c r="AK48" s="226"/>
      <c r="AL48" s="226"/>
    </row>
    <row r="49">
      <c r="A49" s="235"/>
      <c r="B49" s="226"/>
      <c r="C49" s="89"/>
      <c r="D49" s="89"/>
      <c r="E49" s="276"/>
      <c r="F49" s="89"/>
      <c r="G49" s="295"/>
      <c r="H49" s="235"/>
      <c r="I49" s="313"/>
      <c r="J49" s="256"/>
      <c r="K49" s="270"/>
      <c r="L49" s="226"/>
      <c r="M49" s="226"/>
      <c r="N49" s="313"/>
      <c r="O49" s="258"/>
      <c r="P49" s="259"/>
      <c r="Q49" s="235"/>
      <c r="R49" s="256"/>
      <c r="S49" s="226"/>
      <c r="T49" s="226"/>
      <c r="U49" s="256"/>
      <c r="V49" s="226"/>
      <c r="W49" s="226"/>
      <c r="X49" s="226"/>
      <c r="Y49" s="226"/>
      <c r="Z49" s="261"/>
      <c r="AA49" s="261"/>
      <c r="AB49" s="226"/>
      <c r="AC49" s="226"/>
      <c r="AD49" s="226"/>
      <c r="AE49" s="226"/>
      <c r="AF49" s="226"/>
      <c r="AG49" s="226"/>
      <c r="AH49" s="226"/>
      <c r="AI49" s="226"/>
      <c r="AJ49" s="226"/>
      <c r="AK49" s="226"/>
      <c r="AL49" s="226"/>
    </row>
    <row r="50">
      <c r="A50" s="235"/>
      <c r="B50" s="226"/>
      <c r="C50" s="89"/>
      <c r="D50" s="89"/>
      <c r="E50" s="276"/>
      <c r="F50" s="89"/>
      <c r="G50" s="295"/>
      <c r="H50" s="235"/>
      <c r="I50" s="313"/>
      <c r="J50" s="256"/>
      <c r="K50" s="270"/>
      <c r="L50" s="226"/>
      <c r="M50" s="226"/>
      <c r="N50" s="313"/>
      <c r="O50" s="258"/>
      <c r="P50" s="259"/>
      <c r="Q50" s="235"/>
      <c r="R50" s="256"/>
      <c r="S50" s="226"/>
      <c r="T50" s="226"/>
      <c r="U50" s="256"/>
      <c r="V50" s="226"/>
      <c r="W50" s="226"/>
      <c r="X50" s="226"/>
      <c r="Y50" s="226"/>
      <c r="Z50" s="261"/>
      <c r="AA50" s="261"/>
      <c r="AB50" s="226"/>
      <c r="AC50" s="226"/>
      <c r="AD50" s="226"/>
      <c r="AE50" s="226"/>
      <c r="AF50" s="226"/>
      <c r="AG50" s="226"/>
      <c r="AH50" s="226"/>
      <c r="AI50" s="226"/>
      <c r="AJ50" s="226"/>
      <c r="AK50" s="226"/>
      <c r="AL50" s="226"/>
    </row>
    <row r="51">
      <c r="A51" s="235"/>
      <c r="B51" s="226"/>
      <c r="C51" s="89"/>
      <c r="D51" s="89"/>
      <c r="E51" s="276"/>
      <c r="F51" s="89"/>
      <c r="G51" s="295"/>
      <c r="H51" s="235"/>
      <c r="I51" s="313"/>
      <c r="J51" s="256"/>
      <c r="K51" s="270"/>
      <c r="L51" s="226"/>
      <c r="M51" s="226"/>
      <c r="N51" s="313"/>
      <c r="O51" s="258"/>
      <c r="P51" s="259"/>
      <c r="Q51" s="235"/>
      <c r="R51" s="256"/>
      <c r="S51" s="226"/>
      <c r="T51" s="226"/>
      <c r="U51" s="256"/>
      <c r="V51" s="226"/>
      <c r="W51" s="226"/>
      <c r="X51" s="226"/>
      <c r="Y51" s="226"/>
      <c r="Z51" s="261"/>
      <c r="AA51" s="261"/>
      <c r="AB51" s="226"/>
      <c r="AC51" s="226"/>
      <c r="AD51" s="226"/>
      <c r="AE51" s="226"/>
      <c r="AF51" s="226"/>
      <c r="AG51" s="226"/>
      <c r="AH51" s="226"/>
      <c r="AI51" s="226"/>
      <c r="AJ51" s="226"/>
      <c r="AK51" s="226"/>
      <c r="AL51" s="226"/>
    </row>
    <row r="52">
      <c r="A52" s="235"/>
      <c r="B52" s="226"/>
      <c r="C52" s="89"/>
      <c r="D52" s="89"/>
      <c r="E52" s="276"/>
      <c r="F52" s="89"/>
      <c r="G52" s="295"/>
      <c r="H52" s="235"/>
      <c r="I52" s="313"/>
      <c r="J52" s="256"/>
      <c r="K52" s="270"/>
      <c r="L52" s="226"/>
      <c r="M52" s="226"/>
      <c r="N52" s="313"/>
      <c r="O52" s="258"/>
      <c r="P52" s="259"/>
      <c r="Q52" s="235"/>
      <c r="R52" s="256"/>
      <c r="S52" s="226"/>
      <c r="T52" s="226"/>
      <c r="U52" s="256"/>
      <c r="V52" s="226"/>
      <c r="W52" s="226"/>
      <c r="X52" s="226"/>
      <c r="Y52" s="226"/>
      <c r="Z52" s="261"/>
      <c r="AA52" s="261"/>
      <c r="AB52" s="226"/>
      <c r="AC52" s="226"/>
      <c r="AD52" s="226"/>
      <c r="AE52" s="226"/>
      <c r="AF52" s="226"/>
      <c r="AG52" s="226"/>
      <c r="AH52" s="226"/>
      <c r="AI52" s="226"/>
      <c r="AJ52" s="226"/>
      <c r="AK52" s="226"/>
      <c r="AL52" s="226"/>
    </row>
    <row r="53">
      <c r="A53" s="235"/>
      <c r="B53" s="226"/>
      <c r="C53" s="89"/>
      <c r="D53" s="89"/>
      <c r="E53" s="276"/>
      <c r="F53" s="89"/>
      <c r="G53" s="295"/>
      <c r="H53" s="235"/>
      <c r="I53" s="313"/>
      <c r="J53" s="256"/>
      <c r="K53" s="270"/>
      <c r="L53" s="226"/>
      <c r="M53" s="226"/>
      <c r="N53" s="313"/>
      <c r="O53" s="258"/>
      <c r="P53" s="259"/>
      <c r="Q53" s="235"/>
      <c r="R53" s="256"/>
      <c r="S53" s="226"/>
      <c r="T53" s="226"/>
      <c r="U53" s="256"/>
      <c r="V53" s="226"/>
      <c r="W53" s="226"/>
      <c r="X53" s="226"/>
      <c r="Y53" s="226"/>
      <c r="Z53" s="261"/>
      <c r="AA53" s="261"/>
      <c r="AB53" s="226"/>
      <c r="AC53" s="226"/>
      <c r="AD53" s="226"/>
      <c r="AE53" s="226"/>
      <c r="AF53" s="226"/>
      <c r="AG53" s="226"/>
      <c r="AH53" s="226"/>
      <c r="AI53" s="226"/>
      <c r="AJ53" s="226"/>
      <c r="AK53" s="226"/>
      <c r="AL53" s="226"/>
    </row>
    <row r="54">
      <c r="A54" s="235"/>
      <c r="B54" s="226"/>
      <c r="C54" s="89"/>
      <c r="D54" s="89"/>
      <c r="E54" s="276"/>
      <c r="F54" s="89"/>
      <c r="G54" s="295"/>
      <c r="H54" s="235"/>
      <c r="I54" s="313"/>
      <c r="J54" s="256"/>
      <c r="K54" s="270"/>
      <c r="L54" s="226"/>
      <c r="M54" s="226"/>
      <c r="N54" s="313"/>
      <c r="O54" s="258"/>
      <c r="P54" s="259"/>
      <c r="Q54" s="235"/>
      <c r="R54" s="256"/>
      <c r="S54" s="226"/>
      <c r="T54" s="226"/>
      <c r="U54" s="256"/>
      <c r="V54" s="226"/>
      <c r="W54" s="226"/>
      <c r="X54" s="226"/>
      <c r="Y54" s="226"/>
      <c r="Z54" s="261"/>
      <c r="AA54" s="261"/>
      <c r="AB54" s="226"/>
      <c r="AC54" s="226"/>
      <c r="AD54" s="226"/>
      <c r="AE54" s="226"/>
      <c r="AF54" s="226"/>
      <c r="AG54" s="226"/>
      <c r="AH54" s="226"/>
      <c r="AI54" s="226"/>
      <c r="AJ54" s="226"/>
      <c r="AK54" s="226"/>
      <c r="AL54" s="226"/>
    </row>
    <row r="55">
      <c r="A55" s="235"/>
      <c r="B55" s="226"/>
      <c r="C55" s="89"/>
      <c r="D55" s="89"/>
      <c r="E55" s="276"/>
      <c r="F55" s="89"/>
      <c r="G55" s="295"/>
      <c r="H55" s="235"/>
      <c r="I55" s="313"/>
      <c r="J55" s="256"/>
      <c r="K55" s="270"/>
      <c r="L55" s="226"/>
      <c r="M55" s="226"/>
      <c r="N55" s="313"/>
      <c r="O55" s="258"/>
      <c r="P55" s="259"/>
      <c r="Q55" s="235"/>
      <c r="R55" s="256"/>
      <c r="S55" s="226"/>
      <c r="T55" s="226"/>
      <c r="U55" s="256"/>
      <c r="V55" s="226"/>
      <c r="W55" s="226"/>
      <c r="X55" s="226"/>
      <c r="Y55" s="226"/>
      <c r="Z55" s="261"/>
      <c r="AA55" s="261"/>
      <c r="AB55" s="226"/>
      <c r="AC55" s="226"/>
      <c r="AD55" s="226"/>
      <c r="AE55" s="226"/>
      <c r="AF55" s="226"/>
      <c r="AG55" s="226"/>
      <c r="AH55" s="226"/>
      <c r="AI55" s="226"/>
      <c r="AJ55" s="226"/>
      <c r="AK55" s="226"/>
      <c r="AL55" s="226"/>
    </row>
    <row r="56">
      <c r="A56" s="235"/>
      <c r="B56" s="226"/>
      <c r="C56" s="89"/>
      <c r="D56" s="89"/>
      <c r="E56" s="276"/>
      <c r="F56" s="89"/>
      <c r="G56" s="295"/>
      <c r="H56" s="235"/>
      <c r="I56" s="313"/>
      <c r="J56" s="256"/>
      <c r="K56" s="270"/>
      <c r="L56" s="226"/>
      <c r="M56" s="226"/>
      <c r="N56" s="313"/>
      <c r="O56" s="258"/>
      <c r="P56" s="259"/>
      <c r="Q56" s="235"/>
      <c r="R56" s="256"/>
      <c r="S56" s="226"/>
      <c r="T56" s="226"/>
      <c r="U56" s="256"/>
      <c r="V56" s="226"/>
      <c r="W56" s="226"/>
      <c r="X56" s="226"/>
      <c r="Y56" s="226"/>
      <c r="Z56" s="261"/>
      <c r="AA56" s="261"/>
      <c r="AB56" s="226"/>
      <c r="AC56" s="226"/>
      <c r="AD56" s="226"/>
      <c r="AE56" s="226"/>
      <c r="AF56" s="226"/>
      <c r="AG56" s="226"/>
      <c r="AH56" s="226"/>
      <c r="AI56" s="226"/>
      <c r="AJ56" s="226"/>
      <c r="AK56" s="226"/>
      <c r="AL56" s="226"/>
    </row>
    <row r="57">
      <c r="A57" s="235"/>
      <c r="B57" s="226"/>
      <c r="C57" s="89"/>
      <c r="D57" s="89"/>
      <c r="E57" s="276"/>
      <c r="F57" s="89"/>
      <c r="G57" s="295"/>
      <c r="H57" s="235"/>
      <c r="I57" s="313"/>
      <c r="J57" s="256"/>
      <c r="K57" s="270"/>
      <c r="L57" s="226"/>
      <c r="M57" s="226"/>
      <c r="N57" s="313"/>
      <c r="O57" s="258"/>
      <c r="P57" s="259"/>
      <c r="Q57" s="235"/>
      <c r="R57" s="256"/>
      <c r="S57" s="226"/>
      <c r="T57" s="226"/>
      <c r="U57" s="256"/>
      <c r="V57" s="226"/>
      <c r="W57" s="226"/>
      <c r="X57" s="226"/>
      <c r="Y57" s="226"/>
      <c r="Z57" s="261"/>
      <c r="AA57" s="261"/>
      <c r="AB57" s="226"/>
      <c r="AC57" s="226"/>
      <c r="AD57" s="226"/>
      <c r="AE57" s="226"/>
      <c r="AF57" s="226"/>
      <c r="AG57" s="226"/>
      <c r="AH57" s="226"/>
      <c r="AI57" s="226"/>
      <c r="AJ57" s="226"/>
      <c r="AK57" s="226"/>
      <c r="AL57" s="226"/>
    </row>
    <row r="58">
      <c r="A58" s="235"/>
      <c r="B58" s="226"/>
      <c r="C58" s="89"/>
      <c r="D58" s="89"/>
      <c r="E58" s="276"/>
      <c r="F58" s="89"/>
      <c r="G58" s="295"/>
      <c r="H58" s="235"/>
      <c r="I58" s="313"/>
      <c r="J58" s="256"/>
      <c r="K58" s="270"/>
      <c r="L58" s="226"/>
      <c r="M58" s="226"/>
      <c r="N58" s="313"/>
      <c r="O58" s="258"/>
      <c r="P58" s="259"/>
      <c r="Q58" s="235"/>
      <c r="R58" s="256"/>
      <c r="S58" s="226"/>
      <c r="T58" s="226"/>
      <c r="U58" s="256"/>
      <c r="V58" s="226"/>
      <c r="W58" s="226"/>
      <c r="X58" s="226"/>
      <c r="Y58" s="226"/>
      <c r="Z58" s="261"/>
      <c r="AA58" s="261"/>
      <c r="AB58" s="226"/>
      <c r="AC58" s="226"/>
      <c r="AD58" s="226"/>
      <c r="AE58" s="226"/>
      <c r="AF58" s="226"/>
      <c r="AG58" s="226"/>
      <c r="AH58" s="226"/>
      <c r="AI58" s="226"/>
      <c r="AJ58" s="226"/>
      <c r="AK58" s="226"/>
      <c r="AL58" s="226"/>
    </row>
    <row r="59">
      <c r="A59" s="235"/>
      <c r="B59" s="226"/>
      <c r="C59" s="89"/>
      <c r="D59" s="89"/>
      <c r="E59" s="276"/>
      <c r="F59" s="89"/>
      <c r="G59" s="295"/>
      <c r="H59" s="235"/>
      <c r="I59" s="313"/>
      <c r="J59" s="256"/>
      <c r="K59" s="270"/>
      <c r="L59" s="226"/>
      <c r="M59" s="226"/>
      <c r="N59" s="313"/>
      <c r="O59" s="258"/>
      <c r="P59" s="259"/>
      <c r="Q59" s="235"/>
      <c r="R59" s="256"/>
      <c r="S59" s="226"/>
      <c r="T59" s="226"/>
      <c r="U59" s="256"/>
      <c r="V59" s="226"/>
      <c r="W59" s="226"/>
      <c r="X59" s="226"/>
      <c r="Y59" s="226"/>
      <c r="Z59" s="261"/>
      <c r="AA59" s="261"/>
      <c r="AB59" s="226"/>
      <c r="AC59" s="226"/>
      <c r="AD59" s="226"/>
      <c r="AE59" s="226"/>
      <c r="AF59" s="226"/>
      <c r="AG59" s="226"/>
      <c r="AH59" s="226"/>
      <c r="AI59" s="226"/>
      <c r="AJ59" s="226"/>
      <c r="AK59" s="226"/>
      <c r="AL59" s="226"/>
    </row>
    <row r="60">
      <c r="A60" s="235"/>
      <c r="B60" s="226"/>
      <c r="C60" s="89"/>
      <c r="D60" s="89"/>
      <c r="E60" s="276"/>
      <c r="F60" s="89"/>
      <c r="G60" s="295"/>
      <c r="H60" s="235"/>
      <c r="I60" s="313"/>
      <c r="J60" s="256"/>
      <c r="K60" s="270"/>
      <c r="L60" s="226"/>
      <c r="M60" s="226"/>
      <c r="N60" s="313"/>
      <c r="O60" s="258"/>
      <c r="P60" s="259"/>
      <c r="Q60" s="235"/>
      <c r="R60" s="256"/>
      <c r="S60" s="226"/>
      <c r="T60" s="226"/>
      <c r="U60" s="256"/>
      <c r="V60" s="226"/>
      <c r="W60" s="226"/>
      <c r="X60" s="226"/>
      <c r="Y60" s="226"/>
      <c r="Z60" s="261"/>
      <c r="AA60" s="261"/>
      <c r="AB60" s="226"/>
      <c r="AC60" s="226"/>
      <c r="AD60" s="226"/>
      <c r="AE60" s="226"/>
      <c r="AF60" s="226"/>
      <c r="AG60" s="226"/>
      <c r="AH60" s="226"/>
      <c r="AI60" s="226"/>
      <c r="AJ60" s="226"/>
      <c r="AK60" s="226"/>
      <c r="AL60" s="226"/>
    </row>
    <row r="61">
      <c r="A61" s="235"/>
      <c r="B61" s="226"/>
      <c r="C61" s="89"/>
      <c r="D61" s="89"/>
      <c r="E61" s="276"/>
      <c r="F61" s="89"/>
      <c r="G61" s="295"/>
      <c r="H61" s="235"/>
      <c r="I61" s="313"/>
      <c r="J61" s="256"/>
      <c r="K61" s="270"/>
      <c r="L61" s="226"/>
      <c r="M61" s="226"/>
      <c r="N61" s="313"/>
      <c r="O61" s="258"/>
      <c r="P61" s="259"/>
      <c r="Q61" s="235"/>
      <c r="R61" s="256"/>
      <c r="S61" s="226"/>
      <c r="T61" s="226"/>
      <c r="U61" s="256"/>
      <c r="V61" s="226"/>
      <c r="W61" s="226"/>
      <c r="X61" s="226"/>
      <c r="Y61" s="226"/>
      <c r="Z61" s="261"/>
      <c r="AA61" s="261"/>
      <c r="AB61" s="226"/>
      <c r="AC61" s="226"/>
      <c r="AD61" s="226"/>
      <c r="AE61" s="226"/>
      <c r="AF61" s="226"/>
      <c r="AG61" s="226"/>
      <c r="AH61" s="226"/>
      <c r="AI61" s="226"/>
      <c r="AJ61" s="226"/>
      <c r="AK61" s="226"/>
      <c r="AL61" s="226"/>
    </row>
    <row r="62">
      <c r="A62" s="235"/>
      <c r="B62" s="226"/>
      <c r="C62" s="89"/>
      <c r="D62" s="89"/>
      <c r="E62" s="276"/>
      <c r="F62" s="89"/>
      <c r="G62" s="295"/>
      <c r="H62" s="235"/>
      <c r="I62" s="313"/>
      <c r="J62" s="256"/>
      <c r="K62" s="270"/>
      <c r="L62" s="226"/>
      <c r="M62" s="226"/>
      <c r="N62" s="313"/>
      <c r="O62" s="258"/>
      <c r="P62" s="259"/>
      <c r="Q62" s="235"/>
      <c r="R62" s="256"/>
      <c r="S62" s="226"/>
      <c r="T62" s="226"/>
      <c r="U62" s="256"/>
      <c r="V62" s="226"/>
      <c r="W62" s="226"/>
      <c r="X62" s="226"/>
      <c r="Y62" s="226"/>
      <c r="Z62" s="261"/>
      <c r="AA62" s="261"/>
      <c r="AB62" s="226"/>
      <c r="AC62" s="226"/>
      <c r="AD62" s="226"/>
      <c r="AE62" s="226"/>
      <c r="AF62" s="226"/>
      <c r="AG62" s="226"/>
      <c r="AH62" s="226"/>
      <c r="AI62" s="226"/>
      <c r="AJ62" s="226"/>
      <c r="AK62" s="226"/>
      <c r="AL62" s="226"/>
    </row>
    <row r="63">
      <c r="A63" s="235"/>
      <c r="B63" s="226"/>
      <c r="C63" s="89"/>
      <c r="D63" s="89"/>
      <c r="E63" s="276"/>
      <c r="F63" s="89"/>
      <c r="G63" s="295"/>
      <c r="H63" s="235"/>
      <c r="I63" s="313"/>
      <c r="J63" s="256"/>
      <c r="K63" s="270"/>
      <c r="L63" s="226"/>
      <c r="M63" s="226"/>
      <c r="N63" s="313"/>
      <c r="O63" s="258"/>
      <c r="P63" s="259"/>
      <c r="Q63" s="235"/>
      <c r="R63" s="256"/>
      <c r="S63" s="226"/>
      <c r="T63" s="226"/>
      <c r="U63" s="256"/>
      <c r="V63" s="226"/>
      <c r="W63" s="226"/>
      <c r="X63" s="226"/>
      <c r="Y63" s="226"/>
      <c r="Z63" s="261"/>
      <c r="AA63" s="261"/>
      <c r="AB63" s="226"/>
      <c r="AC63" s="226"/>
      <c r="AD63" s="226"/>
      <c r="AE63" s="226"/>
      <c r="AF63" s="226"/>
      <c r="AG63" s="226"/>
      <c r="AH63" s="226"/>
      <c r="AI63" s="226"/>
      <c r="AJ63" s="226"/>
      <c r="AK63" s="226"/>
      <c r="AL63" s="226"/>
    </row>
    <row r="64">
      <c r="A64" s="235"/>
      <c r="B64" s="226"/>
      <c r="C64" s="89"/>
      <c r="D64" s="89"/>
      <c r="E64" s="276"/>
      <c r="F64" s="89"/>
      <c r="G64" s="295"/>
      <c r="H64" s="235"/>
      <c r="I64" s="313"/>
      <c r="J64" s="256"/>
      <c r="K64" s="270"/>
      <c r="L64" s="226"/>
      <c r="M64" s="226"/>
      <c r="N64" s="313"/>
      <c r="O64" s="258"/>
      <c r="P64" s="259"/>
      <c r="Q64" s="235"/>
      <c r="R64" s="256"/>
      <c r="S64" s="226"/>
      <c r="T64" s="226"/>
      <c r="U64" s="256"/>
      <c r="V64" s="226"/>
      <c r="W64" s="226"/>
      <c r="X64" s="226"/>
      <c r="Y64" s="226"/>
      <c r="Z64" s="261"/>
      <c r="AA64" s="261"/>
      <c r="AB64" s="226"/>
      <c r="AC64" s="226"/>
      <c r="AD64" s="226"/>
      <c r="AE64" s="226"/>
      <c r="AF64" s="226"/>
      <c r="AG64" s="226"/>
      <c r="AH64" s="226"/>
      <c r="AI64" s="226"/>
      <c r="AJ64" s="226"/>
      <c r="AK64" s="226"/>
      <c r="AL64" s="226"/>
    </row>
    <row r="65">
      <c r="A65" s="235"/>
      <c r="B65" s="226"/>
      <c r="C65" s="89"/>
      <c r="D65" s="89"/>
      <c r="E65" s="276"/>
      <c r="F65" s="89"/>
      <c r="G65" s="295"/>
      <c r="H65" s="235"/>
      <c r="I65" s="313"/>
      <c r="J65" s="256"/>
      <c r="K65" s="270"/>
      <c r="L65" s="226"/>
      <c r="M65" s="226"/>
      <c r="N65" s="313"/>
      <c r="O65" s="258"/>
      <c r="P65" s="259"/>
      <c r="Q65" s="235"/>
      <c r="R65" s="256"/>
      <c r="S65" s="226"/>
      <c r="T65" s="226"/>
      <c r="U65" s="256"/>
      <c r="V65" s="226"/>
      <c r="W65" s="226"/>
      <c r="X65" s="226"/>
      <c r="Y65" s="226"/>
      <c r="Z65" s="261"/>
      <c r="AA65" s="261"/>
      <c r="AB65" s="226"/>
      <c r="AC65" s="226"/>
      <c r="AD65" s="226"/>
      <c r="AE65" s="226"/>
      <c r="AF65" s="226"/>
      <c r="AG65" s="226"/>
      <c r="AH65" s="226"/>
      <c r="AI65" s="226"/>
      <c r="AJ65" s="226"/>
      <c r="AK65" s="226"/>
      <c r="AL65" s="226"/>
    </row>
    <row r="66">
      <c r="A66" s="235"/>
      <c r="B66" s="226"/>
      <c r="C66" s="89"/>
      <c r="D66" s="89"/>
      <c r="E66" s="276"/>
      <c r="F66" s="89"/>
      <c r="G66" s="295"/>
      <c r="H66" s="235"/>
      <c r="I66" s="313"/>
      <c r="J66" s="256"/>
      <c r="K66" s="270"/>
      <c r="L66" s="226"/>
      <c r="M66" s="226"/>
      <c r="N66" s="313"/>
      <c r="O66" s="258"/>
      <c r="P66" s="259"/>
      <c r="Q66" s="235"/>
      <c r="R66" s="256"/>
      <c r="S66" s="226"/>
      <c r="T66" s="226"/>
      <c r="U66" s="256"/>
      <c r="V66" s="226"/>
      <c r="W66" s="226"/>
      <c r="X66" s="226"/>
      <c r="Y66" s="226"/>
      <c r="Z66" s="261"/>
      <c r="AA66" s="261"/>
      <c r="AB66" s="226"/>
      <c r="AC66" s="226"/>
      <c r="AD66" s="226"/>
      <c r="AE66" s="226"/>
      <c r="AF66" s="226"/>
      <c r="AG66" s="226"/>
      <c r="AH66" s="226"/>
      <c r="AI66" s="226"/>
      <c r="AJ66" s="226"/>
      <c r="AK66" s="226"/>
      <c r="AL66" s="226"/>
    </row>
    <row r="67">
      <c r="A67" s="235"/>
      <c r="B67" s="226"/>
      <c r="C67" s="89"/>
      <c r="D67" s="89"/>
      <c r="E67" s="276"/>
      <c r="F67" s="89"/>
      <c r="G67" s="295"/>
      <c r="H67" s="235"/>
      <c r="I67" s="313"/>
      <c r="J67" s="256"/>
      <c r="K67" s="270"/>
      <c r="L67" s="226"/>
      <c r="M67" s="226"/>
      <c r="N67" s="313"/>
      <c r="O67" s="258"/>
      <c r="P67" s="259"/>
      <c r="Q67" s="235"/>
      <c r="R67" s="256"/>
      <c r="S67" s="226"/>
      <c r="T67" s="226"/>
      <c r="U67" s="256"/>
      <c r="V67" s="226"/>
      <c r="W67" s="226"/>
      <c r="X67" s="226"/>
      <c r="Y67" s="226"/>
      <c r="Z67" s="261"/>
      <c r="AA67" s="261"/>
      <c r="AB67" s="226"/>
      <c r="AC67" s="226"/>
      <c r="AD67" s="226"/>
      <c r="AE67" s="226"/>
      <c r="AF67" s="226"/>
      <c r="AG67" s="226"/>
      <c r="AH67" s="226"/>
      <c r="AI67" s="226"/>
      <c r="AJ67" s="226"/>
      <c r="AK67" s="226"/>
      <c r="AL67" s="226"/>
    </row>
    <row r="68">
      <c r="A68" s="235"/>
      <c r="B68" s="226"/>
      <c r="C68" s="89"/>
      <c r="D68" s="89"/>
      <c r="E68" s="276"/>
      <c r="F68" s="89"/>
      <c r="G68" s="295"/>
      <c r="H68" s="235"/>
      <c r="I68" s="313"/>
      <c r="J68" s="256"/>
      <c r="K68" s="270"/>
      <c r="L68" s="226"/>
      <c r="M68" s="226"/>
      <c r="N68" s="313"/>
      <c r="O68" s="258"/>
      <c r="P68" s="259"/>
      <c r="Q68" s="235"/>
      <c r="R68" s="256"/>
      <c r="S68" s="226"/>
      <c r="T68" s="226"/>
      <c r="U68" s="256"/>
      <c r="V68" s="226"/>
      <c r="W68" s="226"/>
      <c r="X68" s="226"/>
      <c r="Y68" s="226"/>
      <c r="Z68" s="261"/>
      <c r="AA68" s="261"/>
      <c r="AB68" s="226"/>
      <c r="AC68" s="226"/>
      <c r="AD68" s="226"/>
      <c r="AE68" s="226"/>
      <c r="AF68" s="226"/>
      <c r="AG68" s="226"/>
      <c r="AH68" s="226"/>
      <c r="AI68" s="226"/>
      <c r="AJ68" s="226"/>
      <c r="AK68" s="226"/>
      <c r="AL68" s="226"/>
    </row>
    <row r="69">
      <c r="A69" s="235"/>
      <c r="B69" s="226"/>
      <c r="C69" s="89"/>
      <c r="D69" s="89"/>
      <c r="E69" s="276"/>
      <c r="F69" s="89"/>
      <c r="G69" s="295"/>
      <c r="H69" s="235"/>
      <c r="I69" s="313"/>
      <c r="J69" s="256"/>
      <c r="K69" s="270"/>
      <c r="L69" s="226"/>
      <c r="M69" s="226"/>
      <c r="N69" s="313"/>
      <c r="O69" s="258"/>
      <c r="P69" s="259"/>
      <c r="Q69" s="235"/>
      <c r="R69" s="256"/>
      <c r="S69" s="226"/>
      <c r="T69" s="226"/>
      <c r="U69" s="256"/>
      <c r="V69" s="226"/>
      <c r="W69" s="226"/>
      <c r="X69" s="226"/>
      <c r="Y69" s="226"/>
      <c r="Z69" s="261"/>
      <c r="AA69" s="261"/>
      <c r="AB69" s="226"/>
      <c r="AC69" s="226"/>
      <c r="AD69" s="226"/>
      <c r="AE69" s="226"/>
      <c r="AF69" s="226"/>
      <c r="AG69" s="226"/>
      <c r="AH69" s="226"/>
      <c r="AI69" s="226"/>
      <c r="AJ69" s="226"/>
      <c r="AK69" s="226"/>
      <c r="AL69" s="226"/>
    </row>
    <row r="70">
      <c r="A70" s="235"/>
      <c r="B70" s="226"/>
      <c r="C70" s="89"/>
      <c r="D70" s="89"/>
      <c r="E70" s="276"/>
      <c r="F70" s="89"/>
      <c r="G70" s="295"/>
      <c r="H70" s="235"/>
      <c r="I70" s="313"/>
      <c r="J70" s="256"/>
      <c r="K70" s="270"/>
      <c r="L70" s="226"/>
      <c r="M70" s="226"/>
      <c r="N70" s="313"/>
      <c r="O70" s="258"/>
      <c r="P70" s="259"/>
      <c r="Q70" s="235"/>
      <c r="R70" s="256"/>
      <c r="S70" s="226"/>
      <c r="T70" s="226"/>
      <c r="U70" s="256"/>
      <c r="V70" s="226"/>
      <c r="W70" s="226"/>
      <c r="X70" s="226"/>
      <c r="Y70" s="226"/>
      <c r="Z70" s="261"/>
      <c r="AA70" s="261"/>
      <c r="AB70" s="226"/>
      <c r="AC70" s="226"/>
      <c r="AD70" s="226"/>
      <c r="AE70" s="226"/>
      <c r="AF70" s="226"/>
      <c r="AG70" s="226"/>
      <c r="AH70" s="226"/>
      <c r="AI70" s="226"/>
      <c r="AJ70" s="226"/>
      <c r="AK70" s="226"/>
      <c r="AL70" s="226"/>
    </row>
    <row r="71">
      <c r="A71" s="235"/>
      <c r="B71" s="226"/>
      <c r="C71" s="89"/>
      <c r="D71" s="89"/>
      <c r="E71" s="276"/>
      <c r="F71" s="89"/>
      <c r="G71" s="295"/>
      <c r="H71" s="235"/>
      <c r="I71" s="313"/>
      <c r="J71" s="256"/>
      <c r="K71" s="270"/>
      <c r="L71" s="226"/>
      <c r="M71" s="226"/>
      <c r="N71" s="313"/>
      <c r="O71" s="258"/>
      <c r="P71" s="259"/>
      <c r="Q71" s="235"/>
      <c r="R71" s="256"/>
      <c r="S71" s="226"/>
      <c r="T71" s="226"/>
      <c r="U71" s="256"/>
      <c r="V71" s="226"/>
      <c r="W71" s="226"/>
      <c r="X71" s="226"/>
      <c r="Y71" s="226"/>
      <c r="Z71" s="261"/>
      <c r="AA71" s="261"/>
      <c r="AB71" s="226"/>
      <c r="AC71" s="226"/>
      <c r="AD71" s="226"/>
      <c r="AE71" s="226"/>
      <c r="AF71" s="226"/>
      <c r="AG71" s="226"/>
      <c r="AH71" s="226"/>
      <c r="AI71" s="226"/>
      <c r="AJ71" s="226"/>
      <c r="AK71" s="226"/>
      <c r="AL71" s="226"/>
    </row>
    <row r="72">
      <c r="A72" s="235"/>
      <c r="B72" s="226"/>
      <c r="C72" s="89"/>
      <c r="D72" s="89"/>
      <c r="E72" s="276"/>
      <c r="F72" s="89"/>
      <c r="G72" s="295"/>
      <c r="H72" s="235"/>
      <c r="I72" s="313"/>
      <c r="J72" s="256"/>
      <c r="K72" s="270"/>
      <c r="L72" s="226"/>
      <c r="M72" s="226"/>
      <c r="N72" s="313"/>
      <c r="O72" s="258"/>
      <c r="P72" s="259"/>
      <c r="Q72" s="235"/>
      <c r="R72" s="256"/>
      <c r="S72" s="226"/>
      <c r="T72" s="226"/>
      <c r="U72" s="256"/>
      <c r="V72" s="226"/>
      <c r="W72" s="226"/>
      <c r="X72" s="226"/>
      <c r="Y72" s="226"/>
      <c r="Z72" s="261"/>
      <c r="AA72" s="261"/>
      <c r="AB72" s="226"/>
      <c r="AC72" s="226"/>
      <c r="AD72" s="226"/>
      <c r="AE72" s="226"/>
      <c r="AF72" s="226"/>
      <c r="AG72" s="226"/>
      <c r="AH72" s="226"/>
      <c r="AI72" s="226"/>
      <c r="AJ72" s="226"/>
      <c r="AK72" s="226"/>
      <c r="AL72" s="226"/>
    </row>
    <row r="73">
      <c r="A73" s="235"/>
      <c r="B73" s="226"/>
      <c r="C73" s="89"/>
      <c r="D73" s="89"/>
      <c r="E73" s="276"/>
      <c r="F73" s="89"/>
      <c r="G73" s="295"/>
      <c r="H73" s="235"/>
      <c r="I73" s="313"/>
      <c r="J73" s="256"/>
      <c r="K73" s="270"/>
      <c r="L73" s="226"/>
      <c r="M73" s="226"/>
      <c r="N73" s="313"/>
      <c r="O73" s="258"/>
      <c r="P73" s="259"/>
      <c r="Q73" s="235"/>
      <c r="R73" s="256"/>
      <c r="S73" s="226"/>
      <c r="T73" s="226"/>
      <c r="U73" s="256"/>
      <c r="V73" s="226"/>
      <c r="W73" s="226"/>
      <c r="X73" s="226"/>
      <c r="Y73" s="226"/>
      <c r="Z73" s="261"/>
      <c r="AA73" s="261"/>
      <c r="AB73" s="226"/>
      <c r="AC73" s="226"/>
      <c r="AD73" s="226"/>
      <c r="AE73" s="226"/>
      <c r="AF73" s="226"/>
      <c r="AG73" s="226"/>
      <c r="AH73" s="226"/>
      <c r="AI73" s="226"/>
      <c r="AJ73" s="226"/>
      <c r="AK73" s="226"/>
      <c r="AL73" s="226"/>
    </row>
    <row r="74">
      <c r="A74" s="235"/>
      <c r="B74" s="226"/>
      <c r="C74" s="89"/>
      <c r="D74" s="89"/>
      <c r="E74" s="276"/>
      <c r="F74" s="89"/>
      <c r="G74" s="295"/>
      <c r="H74" s="235"/>
      <c r="I74" s="313"/>
      <c r="J74" s="256"/>
      <c r="K74" s="270"/>
      <c r="L74" s="226"/>
      <c r="M74" s="226"/>
      <c r="N74" s="313"/>
      <c r="O74" s="258"/>
      <c r="P74" s="259"/>
      <c r="Q74" s="235"/>
      <c r="R74" s="256"/>
      <c r="S74" s="226"/>
      <c r="T74" s="226"/>
      <c r="U74" s="256"/>
      <c r="V74" s="226"/>
      <c r="W74" s="226"/>
      <c r="X74" s="226"/>
      <c r="Y74" s="226"/>
      <c r="Z74" s="261"/>
      <c r="AA74" s="261"/>
      <c r="AB74" s="226"/>
      <c r="AC74" s="226"/>
      <c r="AD74" s="226"/>
      <c r="AE74" s="226"/>
      <c r="AF74" s="226"/>
      <c r="AG74" s="226"/>
      <c r="AH74" s="226"/>
      <c r="AI74" s="226"/>
      <c r="AJ74" s="226"/>
      <c r="AK74" s="226"/>
      <c r="AL74" s="226"/>
    </row>
    <row r="75">
      <c r="A75" s="235"/>
      <c r="B75" s="226"/>
      <c r="C75" s="89"/>
      <c r="D75" s="89"/>
      <c r="E75" s="276"/>
      <c r="F75" s="89"/>
      <c r="G75" s="295"/>
      <c r="H75" s="235"/>
      <c r="I75" s="313"/>
      <c r="J75" s="256"/>
      <c r="K75" s="270"/>
      <c r="L75" s="226"/>
      <c r="M75" s="226"/>
      <c r="N75" s="313"/>
      <c r="O75" s="258"/>
      <c r="P75" s="259"/>
      <c r="Q75" s="235"/>
      <c r="R75" s="256"/>
      <c r="S75" s="226"/>
      <c r="T75" s="226"/>
      <c r="U75" s="256"/>
      <c r="V75" s="226"/>
      <c r="W75" s="226"/>
      <c r="X75" s="226"/>
      <c r="Y75" s="226"/>
      <c r="Z75" s="261"/>
      <c r="AA75" s="261"/>
      <c r="AB75" s="226"/>
      <c r="AC75" s="226"/>
      <c r="AD75" s="226"/>
      <c r="AE75" s="226"/>
      <c r="AF75" s="226"/>
      <c r="AG75" s="226"/>
      <c r="AH75" s="226"/>
      <c r="AI75" s="226"/>
      <c r="AJ75" s="226"/>
      <c r="AK75" s="226"/>
      <c r="AL75" s="226"/>
    </row>
    <row r="76">
      <c r="A76" s="235"/>
      <c r="B76" s="226"/>
      <c r="C76" s="89"/>
      <c r="D76" s="89"/>
      <c r="E76" s="276"/>
      <c r="F76" s="89"/>
      <c r="G76" s="295"/>
      <c r="H76" s="235"/>
      <c r="I76" s="313"/>
      <c r="J76" s="256"/>
      <c r="K76" s="270"/>
      <c r="L76" s="226"/>
      <c r="M76" s="226"/>
      <c r="N76" s="313"/>
      <c r="O76" s="258"/>
      <c r="P76" s="259"/>
      <c r="Q76" s="235"/>
      <c r="R76" s="256"/>
      <c r="S76" s="226"/>
      <c r="T76" s="226"/>
      <c r="U76" s="256"/>
      <c r="V76" s="226"/>
      <c r="W76" s="226"/>
      <c r="X76" s="226"/>
      <c r="Y76" s="226"/>
      <c r="Z76" s="261"/>
      <c r="AA76" s="261"/>
      <c r="AB76" s="226"/>
      <c r="AC76" s="226"/>
      <c r="AD76" s="226"/>
      <c r="AE76" s="226"/>
      <c r="AF76" s="226"/>
      <c r="AG76" s="226"/>
      <c r="AH76" s="226"/>
      <c r="AI76" s="226"/>
      <c r="AJ76" s="226"/>
      <c r="AK76" s="226"/>
      <c r="AL76" s="226"/>
    </row>
    <row r="77">
      <c r="A77" s="235"/>
      <c r="B77" s="226"/>
      <c r="C77" s="89"/>
      <c r="D77" s="89"/>
      <c r="E77" s="276"/>
      <c r="F77" s="89"/>
      <c r="G77" s="295"/>
      <c r="H77" s="235"/>
      <c r="I77" s="313"/>
      <c r="J77" s="256"/>
      <c r="K77" s="270"/>
      <c r="L77" s="226"/>
      <c r="M77" s="226"/>
      <c r="N77" s="313"/>
      <c r="O77" s="258"/>
      <c r="P77" s="259"/>
      <c r="Q77" s="235"/>
      <c r="R77" s="256"/>
      <c r="S77" s="226"/>
      <c r="T77" s="226"/>
      <c r="U77" s="256"/>
      <c r="V77" s="226"/>
      <c r="W77" s="226"/>
      <c r="X77" s="226"/>
      <c r="Y77" s="226"/>
      <c r="Z77" s="261"/>
      <c r="AA77" s="261"/>
      <c r="AB77" s="226"/>
      <c r="AC77" s="226"/>
      <c r="AD77" s="226"/>
      <c r="AE77" s="226"/>
      <c r="AF77" s="226"/>
      <c r="AG77" s="226"/>
      <c r="AH77" s="226"/>
      <c r="AI77" s="226"/>
      <c r="AJ77" s="226"/>
      <c r="AK77" s="226"/>
      <c r="AL77" s="226"/>
    </row>
    <row r="78">
      <c r="A78" s="235"/>
      <c r="B78" s="226"/>
      <c r="C78" s="89"/>
      <c r="D78" s="89"/>
      <c r="E78" s="276"/>
      <c r="F78" s="89"/>
      <c r="G78" s="295"/>
      <c r="H78" s="235"/>
      <c r="I78" s="313"/>
      <c r="J78" s="256"/>
      <c r="K78" s="270"/>
      <c r="L78" s="226"/>
      <c r="M78" s="226"/>
      <c r="N78" s="313"/>
      <c r="O78" s="258"/>
      <c r="P78" s="259"/>
      <c r="Q78" s="235"/>
      <c r="R78" s="256"/>
      <c r="S78" s="226"/>
      <c r="T78" s="226"/>
      <c r="U78" s="256"/>
      <c r="V78" s="226"/>
      <c r="W78" s="226"/>
      <c r="X78" s="226"/>
      <c r="Y78" s="226"/>
      <c r="Z78" s="261"/>
      <c r="AA78" s="261"/>
      <c r="AB78" s="226"/>
      <c r="AC78" s="226"/>
      <c r="AD78" s="226"/>
      <c r="AE78" s="226"/>
      <c r="AF78" s="226"/>
      <c r="AG78" s="226"/>
      <c r="AH78" s="226"/>
      <c r="AI78" s="226"/>
      <c r="AJ78" s="226"/>
      <c r="AK78" s="226"/>
      <c r="AL78" s="226"/>
    </row>
    <row r="79">
      <c r="A79" s="235"/>
      <c r="B79" s="226"/>
      <c r="C79" s="89"/>
      <c r="D79" s="89"/>
      <c r="E79" s="276"/>
      <c r="F79" s="89"/>
      <c r="G79" s="295"/>
      <c r="H79" s="235"/>
      <c r="I79" s="313"/>
      <c r="J79" s="256"/>
      <c r="K79" s="270"/>
      <c r="L79" s="226"/>
      <c r="M79" s="226"/>
      <c r="N79" s="313"/>
      <c r="O79" s="258"/>
      <c r="P79" s="259"/>
      <c r="Q79" s="235"/>
      <c r="R79" s="256"/>
      <c r="S79" s="226"/>
      <c r="T79" s="226"/>
      <c r="U79" s="256"/>
      <c r="V79" s="226"/>
      <c r="W79" s="226"/>
      <c r="X79" s="226"/>
      <c r="Y79" s="226"/>
      <c r="Z79" s="261"/>
      <c r="AA79" s="261"/>
      <c r="AB79" s="226"/>
      <c r="AC79" s="226"/>
      <c r="AD79" s="226"/>
      <c r="AE79" s="226"/>
      <c r="AF79" s="226"/>
      <c r="AG79" s="226"/>
      <c r="AH79" s="226"/>
      <c r="AI79" s="226"/>
      <c r="AJ79" s="226"/>
      <c r="AK79" s="226"/>
      <c r="AL79" s="226"/>
    </row>
    <row r="80">
      <c r="A80" s="235"/>
      <c r="B80" s="226"/>
      <c r="C80" s="89"/>
      <c r="D80" s="89"/>
      <c r="E80" s="276"/>
      <c r="F80" s="89"/>
      <c r="G80" s="295"/>
      <c r="H80" s="235"/>
      <c r="I80" s="313"/>
      <c r="J80" s="256"/>
      <c r="K80" s="270"/>
      <c r="L80" s="226"/>
      <c r="M80" s="226"/>
      <c r="N80" s="313"/>
      <c r="O80" s="258"/>
      <c r="P80" s="259"/>
      <c r="Q80" s="235"/>
      <c r="R80" s="256"/>
      <c r="S80" s="226"/>
      <c r="T80" s="226"/>
      <c r="U80" s="256"/>
      <c r="V80" s="226"/>
      <c r="W80" s="226"/>
      <c r="X80" s="226"/>
      <c r="Y80" s="226"/>
      <c r="Z80" s="261"/>
      <c r="AA80" s="261"/>
      <c r="AB80" s="226"/>
      <c r="AC80" s="226"/>
      <c r="AD80" s="226"/>
      <c r="AE80" s="226"/>
      <c r="AF80" s="226"/>
      <c r="AG80" s="226"/>
      <c r="AH80" s="226"/>
      <c r="AI80" s="226"/>
      <c r="AJ80" s="226"/>
      <c r="AK80" s="226"/>
      <c r="AL80" s="226"/>
    </row>
    <row r="81">
      <c r="A81" s="235"/>
      <c r="B81" s="226"/>
      <c r="C81" s="89"/>
      <c r="D81" s="89"/>
      <c r="E81" s="276"/>
      <c r="F81" s="89"/>
      <c r="G81" s="295"/>
      <c r="H81" s="235"/>
      <c r="I81" s="313"/>
      <c r="J81" s="256"/>
      <c r="K81" s="270"/>
      <c r="L81" s="226"/>
      <c r="M81" s="226"/>
      <c r="N81" s="313"/>
      <c r="O81" s="258"/>
      <c r="P81" s="259"/>
      <c r="Q81" s="235"/>
      <c r="R81" s="256"/>
      <c r="S81" s="226"/>
      <c r="T81" s="226"/>
      <c r="U81" s="256"/>
      <c r="V81" s="226"/>
      <c r="W81" s="226"/>
      <c r="X81" s="226"/>
      <c r="Y81" s="226"/>
      <c r="Z81" s="261"/>
      <c r="AA81" s="261"/>
      <c r="AB81" s="226"/>
      <c r="AC81" s="226"/>
      <c r="AD81" s="226"/>
      <c r="AE81" s="226"/>
      <c r="AF81" s="226"/>
      <c r="AG81" s="226"/>
      <c r="AH81" s="226"/>
      <c r="AI81" s="226"/>
      <c r="AJ81" s="226"/>
      <c r="AK81" s="226"/>
      <c r="AL81" s="226"/>
    </row>
    <row r="82">
      <c r="A82" s="235"/>
      <c r="B82" s="226"/>
      <c r="C82" s="89"/>
      <c r="D82" s="89"/>
      <c r="E82" s="276"/>
      <c r="F82" s="89"/>
      <c r="G82" s="295"/>
      <c r="H82" s="235"/>
      <c r="I82" s="313"/>
      <c r="J82" s="256"/>
      <c r="K82" s="270"/>
      <c r="L82" s="226"/>
      <c r="M82" s="226"/>
      <c r="N82" s="313"/>
      <c r="O82" s="258"/>
      <c r="P82" s="259"/>
      <c r="Q82" s="235"/>
      <c r="R82" s="256"/>
      <c r="S82" s="226"/>
      <c r="T82" s="226"/>
      <c r="U82" s="256"/>
      <c r="V82" s="226"/>
      <c r="W82" s="226"/>
      <c r="X82" s="226"/>
      <c r="Y82" s="226"/>
      <c r="Z82" s="261"/>
      <c r="AA82" s="261"/>
      <c r="AB82" s="226"/>
      <c r="AC82" s="226"/>
      <c r="AD82" s="226"/>
      <c r="AE82" s="226"/>
      <c r="AF82" s="226"/>
      <c r="AG82" s="226"/>
      <c r="AH82" s="226"/>
      <c r="AI82" s="226"/>
      <c r="AJ82" s="226"/>
      <c r="AK82" s="226"/>
      <c r="AL82" s="226"/>
    </row>
    <row r="83">
      <c r="A83" s="235"/>
      <c r="B83" s="226"/>
      <c r="C83" s="89"/>
      <c r="D83" s="89"/>
      <c r="E83" s="276"/>
      <c r="F83" s="89"/>
      <c r="G83" s="295"/>
      <c r="H83" s="235"/>
      <c r="I83" s="313"/>
      <c r="J83" s="256"/>
      <c r="K83" s="270"/>
      <c r="L83" s="226"/>
      <c r="M83" s="226"/>
      <c r="N83" s="313"/>
      <c r="O83" s="258"/>
      <c r="P83" s="259"/>
      <c r="Q83" s="235"/>
      <c r="R83" s="256"/>
      <c r="S83" s="226"/>
      <c r="T83" s="226"/>
      <c r="U83" s="256"/>
      <c r="V83" s="226"/>
      <c r="W83" s="226"/>
      <c r="X83" s="226"/>
      <c r="Y83" s="226"/>
      <c r="Z83" s="261"/>
      <c r="AA83" s="261"/>
      <c r="AB83" s="226"/>
      <c r="AC83" s="226"/>
      <c r="AD83" s="226"/>
      <c r="AE83" s="226"/>
      <c r="AF83" s="226"/>
      <c r="AG83" s="226"/>
      <c r="AH83" s="226"/>
      <c r="AI83" s="226"/>
      <c r="AJ83" s="226"/>
      <c r="AK83" s="226"/>
      <c r="AL83" s="226"/>
    </row>
    <row r="84">
      <c r="A84" s="235"/>
      <c r="B84" s="226"/>
      <c r="C84" s="89"/>
      <c r="D84" s="89"/>
      <c r="E84" s="276"/>
      <c r="F84" s="89"/>
      <c r="G84" s="295"/>
      <c r="H84" s="235"/>
      <c r="I84" s="313"/>
      <c r="J84" s="256"/>
      <c r="K84" s="270"/>
      <c r="L84" s="226"/>
      <c r="M84" s="226"/>
      <c r="N84" s="313"/>
      <c r="O84" s="258"/>
      <c r="P84" s="259"/>
      <c r="Q84" s="235"/>
      <c r="R84" s="256"/>
      <c r="S84" s="226"/>
      <c r="T84" s="226"/>
      <c r="U84" s="256"/>
      <c r="V84" s="226"/>
      <c r="W84" s="226"/>
      <c r="X84" s="226"/>
      <c r="Y84" s="226"/>
      <c r="Z84" s="261"/>
      <c r="AA84" s="261"/>
      <c r="AB84" s="226"/>
      <c r="AC84" s="226"/>
      <c r="AD84" s="226"/>
      <c r="AE84" s="226"/>
      <c r="AF84" s="226"/>
      <c r="AG84" s="226"/>
      <c r="AH84" s="226"/>
      <c r="AI84" s="226"/>
      <c r="AJ84" s="226"/>
      <c r="AK84" s="226"/>
      <c r="AL84" s="226"/>
    </row>
    <row r="85">
      <c r="A85" s="235"/>
      <c r="B85" s="226"/>
      <c r="C85" s="89"/>
      <c r="D85" s="89"/>
      <c r="E85" s="276"/>
      <c r="F85" s="89"/>
      <c r="G85" s="295"/>
      <c r="H85" s="235"/>
      <c r="I85" s="313"/>
      <c r="J85" s="256"/>
      <c r="K85" s="270"/>
      <c r="L85" s="226"/>
      <c r="M85" s="226"/>
      <c r="N85" s="313"/>
      <c r="O85" s="258"/>
      <c r="P85" s="259"/>
      <c r="Q85" s="235"/>
      <c r="R85" s="256"/>
      <c r="S85" s="226"/>
      <c r="T85" s="226"/>
      <c r="U85" s="256"/>
      <c r="V85" s="226"/>
      <c r="W85" s="226"/>
      <c r="X85" s="226"/>
      <c r="Y85" s="226"/>
      <c r="Z85" s="261"/>
      <c r="AA85" s="261"/>
      <c r="AB85" s="226"/>
      <c r="AC85" s="226"/>
      <c r="AD85" s="226"/>
      <c r="AE85" s="226"/>
      <c r="AF85" s="226"/>
      <c r="AG85" s="226"/>
      <c r="AH85" s="226"/>
      <c r="AI85" s="226"/>
      <c r="AJ85" s="226"/>
      <c r="AK85" s="226"/>
      <c r="AL85" s="226"/>
    </row>
    <row r="86">
      <c r="A86" s="235"/>
      <c r="B86" s="226"/>
      <c r="C86" s="89"/>
      <c r="D86" s="89"/>
      <c r="E86" s="276"/>
      <c r="F86" s="89"/>
      <c r="G86" s="295"/>
      <c r="H86" s="235"/>
      <c r="I86" s="313"/>
      <c r="J86" s="256"/>
      <c r="K86" s="270"/>
      <c r="L86" s="226"/>
      <c r="M86" s="226"/>
      <c r="N86" s="313"/>
      <c r="O86" s="258"/>
      <c r="P86" s="259"/>
      <c r="Q86" s="235"/>
      <c r="R86" s="256"/>
      <c r="S86" s="226"/>
      <c r="T86" s="226"/>
      <c r="U86" s="256"/>
      <c r="V86" s="226"/>
      <c r="W86" s="226"/>
      <c r="X86" s="226"/>
      <c r="Y86" s="226"/>
      <c r="Z86" s="261"/>
      <c r="AA86" s="261"/>
      <c r="AB86" s="226"/>
      <c r="AC86" s="226"/>
      <c r="AD86" s="226"/>
      <c r="AE86" s="226"/>
      <c r="AF86" s="226"/>
      <c r="AG86" s="226"/>
      <c r="AH86" s="226"/>
      <c r="AI86" s="226"/>
      <c r="AJ86" s="226"/>
      <c r="AK86" s="226"/>
      <c r="AL86" s="226"/>
    </row>
    <row r="87">
      <c r="A87" s="235"/>
      <c r="B87" s="226"/>
      <c r="C87" s="89"/>
      <c r="D87" s="89"/>
      <c r="E87" s="276"/>
      <c r="F87" s="89"/>
      <c r="G87" s="295"/>
      <c r="H87" s="235"/>
      <c r="I87" s="313"/>
      <c r="J87" s="256"/>
      <c r="K87" s="270"/>
      <c r="L87" s="226"/>
      <c r="M87" s="226"/>
      <c r="N87" s="313"/>
      <c r="O87" s="258"/>
      <c r="P87" s="259"/>
      <c r="Q87" s="235"/>
      <c r="R87" s="256"/>
      <c r="S87" s="226"/>
      <c r="T87" s="226"/>
      <c r="U87" s="256"/>
      <c r="V87" s="226"/>
      <c r="W87" s="226"/>
      <c r="X87" s="226"/>
      <c r="Y87" s="226"/>
      <c r="Z87" s="261"/>
      <c r="AA87" s="261"/>
      <c r="AB87" s="226"/>
      <c r="AC87" s="226"/>
      <c r="AD87" s="226"/>
      <c r="AE87" s="226"/>
      <c r="AF87" s="226"/>
      <c r="AG87" s="226"/>
      <c r="AH87" s="226"/>
      <c r="AI87" s="226"/>
      <c r="AJ87" s="226"/>
      <c r="AK87" s="226"/>
      <c r="AL87" s="226"/>
    </row>
    <row r="88">
      <c r="A88" s="235"/>
      <c r="B88" s="226"/>
      <c r="C88" s="89"/>
      <c r="D88" s="89"/>
      <c r="E88" s="276"/>
      <c r="F88" s="89"/>
      <c r="G88" s="295"/>
      <c r="H88" s="235"/>
      <c r="I88" s="313"/>
      <c r="J88" s="256"/>
      <c r="K88" s="270"/>
      <c r="L88" s="226"/>
      <c r="M88" s="226"/>
      <c r="N88" s="313"/>
      <c r="O88" s="258"/>
      <c r="P88" s="259"/>
      <c r="Q88" s="235"/>
      <c r="R88" s="256"/>
      <c r="S88" s="226"/>
      <c r="T88" s="226"/>
      <c r="U88" s="256"/>
      <c r="V88" s="226"/>
      <c r="W88" s="226"/>
      <c r="X88" s="226"/>
      <c r="Y88" s="226"/>
      <c r="Z88" s="261"/>
      <c r="AA88" s="261"/>
      <c r="AB88" s="226"/>
      <c r="AC88" s="226"/>
      <c r="AD88" s="226"/>
      <c r="AE88" s="226"/>
      <c r="AF88" s="226"/>
      <c r="AG88" s="226"/>
      <c r="AH88" s="226"/>
      <c r="AI88" s="226"/>
      <c r="AJ88" s="226"/>
      <c r="AK88" s="226"/>
      <c r="AL88" s="226"/>
    </row>
    <row r="89">
      <c r="A89" s="235"/>
      <c r="B89" s="226"/>
      <c r="C89" s="89"/>
      <c r="D89" s="89"/>
      <c r="E89" s="276"/>
      <c r="F89" s="89"/>
      <c r="G89" s="295"/>
      <c r="H89" s="235"/>
      <c r="I89" s="313"/>
      <c r="J89" s="256"/>
      <c r="K89" s="270"/>
      <c r="L89" s="226"/>
      <c r="M89" s="226"/>
      <c r="N89" s="313"/>
      <c r="O89" s="258"/>
      <c r="P89" s="259"/>
      <c r="Q89" s="235"/>
      <c r="R89" s="256"/>
      <c r="S89" s="226"/>
      <c r="T89" s="226"/>
      <c r="U89" s="256"/>
      <c r="V89" s="226"/>
      <c r="W89" s="226"/>
      <c r="X89" s="226"/>
      <c r="Y89" s="226"/>
      <c r="Z89" s="261"/>
      <c r="AA89" s="261"/>
      <c r="AB89" s="226"/>
      <c r="AC89" s="226"/>
      <c r="AD89" s="226"/>
      <c r="AE89" s="226"/>
      <c r="AF89" s="226"/>
      <c r="AG89" s="226"/>
      <c r="AH89" s="226"/>
      <c r="AI89" s="226"/>
      <c r="AJ89" s="226"/>
      <c r="AK89" s="226"/>
      <c r="AL89" s="226"/>
    </row>
    <row r="90">
      <c r="A90" s="235"/>
      <c r="B90" s="226"/>
      <c r="C90" s="89"/>
      <c r="D90" s="89"/>
      <c r="E90" s="276"/>
      <c r="F90" s="89"/>
      <c r="G90" s="295"/>
      <c r="H90" s="235"/>
      <c r="I90" s="313"/>
      <c r="J90" s="256"/>
      <c r="K90" s="270"/>
      <c r="L90" s="226"/>
      <c r="M90" s="226"/>
      <c r="N90" s="313"/>
      <c r="O90" s="258"/>
      <c r="P90" s="259"/>
      <c r="Q90" s="235"/>
      <c r="R90" s="256"/>
      <c r="S90" s="226"/>
      <c r="T90" s="226"/>
      <c r="U90" s="256"/>
      <c r="V90" s="226"/>
      <c r="W90" s="226"/>
      <c r="X90" s="226"/>
      <c r="Y90" s="226"/>
      <c r="Z90" s="261"/>
      <c r="AA90" s="261"/>
      <c r="AB90" s="226"/>
      <c r="AC90" s="226"/>
      <c r="AD90" s="226"/>
      <c r="AE90" s="226"/>
      <c r="AF90" s="226"/>
      <c r="AG90" s="226"/>
      <c r="AH90" s="226"/>
      <c r="AI90" s="226"/>
      <c r="AJ90" s="226"/>
      <c r="AK90" s="226"/>
      <c r="AL90" s="226"/>
    </row>
    <row r="91">
      <c r="A91" s="235"/>
      <c r="B91" s="226"/>
      <c r="C91" s="89"/>
      <c r="D91" s="89"/>
      <c r="E91" s="276"/>
      <c r="F91" s="89"/>
      <c r="G91" s="295"/>
      <c r="H91" s="235"/>
      <c r="I91" s="313"/>
      <c r="J91" s="256"/>
      <c r="K91" s="270"/>
      <c r="L91" s="226"/>
      <c r="M91" s="226"/>
      <c r="N91" s="313"/>
      <c r="O91" s="258"/>
      <c r="P91" s="259"/>
      <c r="Q91" s="235"/>
      <c r="R91" s="256"/>
      <c r="S91" s="226"/>
      <c r="T91" s="226"/>
      <c r="U91" s="256"/>
      <c r="V91" s="226"/>
      <c r="W91" s="226"/>
      <c r="X91" s="226"/>
      <c r="Y91" s="226"/>
      <c r="Z91" s="261"/>
      <c r="AA91" s="261"/>
      <c r="AB91" s="226"/>
      <c r="AC91" s="226"/>
      <c r="AD91" s="226"/>
      <c r="AE91" s="226"/>
      <c r="AF91" s="226"/>
      <c r="AG91" s="226"/>
      <c r="AH91" s="226"/>
      <c r="AI91" s="226"/>
      <c r="AJ91" s="226"/>
      <c r="AK91" s="226"/>
      <c r="AL91" s="226"/>
    </row>
    <row r="92">
      <c r="A92" s="235"/>
      <c r="B92" s="226"/>
      <c r="C92" s="89"/>
      <c r="D92" s="89"/>
      <c r="E92" s="276"/>
      <c r="F92" s="89"/>
      <c r="G92" s="295"/>
      <c r="H92" s="235"/>
      <c r="I92" s="313"/>
      <c r="J92" s="256"/>
      <c r="K92" s="270"/>
      <c r="L92" s="226"/>
      <c r="M92" s="226"/>
      <c r="N92" s="313"/>
      <c r="O92" s="258"/>
      <c r="P92" s="259"/>
      <c r="Q92" s="235"/>
      <c r="R92" s="256"/>
      <c r="S92" s="226"/>
      <c r="T92" s="226"/>
      <c r="U92" s="256"/>
      <c r="V92" s="226"/>
      <c r="W92" s="226"/>
      <c r="X92" s="226"/>
      <c r="Y92" s="226"/>
      <c r="Z92" s="261"/>
      <c r="AA92" s="261"/>
      <c r="AB92" s="226"/>
      <c r="AC92" s="226"/>
      <c r="AD92" s="226"/>
      <c r="AE92" s="226"/>
      <c r="AF92" s="226"/>
      <c r="AG92" s="226"/>
      <c r="AH92" s="226"/>
      <c r="AI92" s="226"/>
      <c r="AJ92" s="226"/>
      <c r="AK92" s="226"/>
      <c r="AL92" s="226"/>
    </row>
    <row r="93">
      <c r="A93" s="235"/>
      <c r="B93" s="226"/>
      <c r="C93" s="89"/>
      <c r="D93" s="89"/>
      <c r="E93" s="276"/>
      <c r="F93" s="89"/>
      <c r="G93" s="295"/>
      <c r="H93" s="235"/>
      <c r="I93" s="313"/>
      <c r="J93" s="256"/>
      <c r="K93" s="270"/>
      <c r="L93" s="226"/>
      <c r="M93" s="226"/>
      <c r="N93" s="313"/>
      <c r="O93" s="258"/>
      <c r="P93" s="259"/>
      <c r="Q93" s="235"/>
      <c r="R93" s="256"/>
      <c r="S93" s="226"/>
      <c r="T93" s="226"/>
      <c r="U93" s="256"/>
      <c r="V93" s="226"/>
      <c r="W93" s="226"/>
      <c r="X93" s="226"/>
      <c r="Y93" s="226"/>
      <c r="Z93" s="261"/>
      <c r="AA93" s="261"/>
      <c r="AB93" s="226"/>
      <c r="AC93" s="226"/>
      <c r="AD93" s="226"/>
      <c r="AE93" s="226"/>
      <c r="AF93" s="226"/>
      <c r="AG93" s="226"/>
      <c r="AH93" s="226"/>
      <c r="AI93" s="226"/>
      <c r="AJ93" s="226"/>
      <c r="AK93" s="226"/>
      <c r="AL93" s="226"/>
    </row>
    <row r="94">
      <c r="A94" s="235"/>
      <c r="B94" s="226"/>
      <c r="C94" s="89"/>
      <c r="D94" s="89"/>
      <c r="E94" s="276"/>
      <c r="F94" s="89"/>
      <c r="G94" s="295"/>
      <c r="H94" s="235"/>
      <c r="I94" s="313"/>
      <c r="J94" s="256"/>
      <c r="K94" s="270"/>
      <c r="L94" s="226"/>
      <c r="M94" s="226"/>
      <c r="N94" s="313"/>
      <c r="O94" s="258"/>
      <c r="P94" s="259"/>
      <c r="Q94" s="235"/>
      <c r="R94" s="256"/>
      <c r="S94" s="226"/>
      <c r="T94" s="226"/>
      <c r="U94" s="256"/>
      <c r="V94" s="226"/>
      <c r="W94" s="226"/>
      <c r="X94" s="226"/>
      <c r="Y94" s="226"/>
      <c r="Z94" s="261"/>
      <c r="AA94" s="261"/>
      <c r="AB94" s="226"/>
      <c r="AC94" s="226"/>
      <c r="AD94" s="226"/>
      <c r="AE94" s="226"/>
      <c r="AF94" s="226"/>
      <c r="AG94" s="226"/>
      <c r="AH94" s="226"/>
      <c r="AI94" s="226"/>
      <c r="AJ94" s="226"/>
      <c r="AK94" s="226"/>
      <c r="AL94" s="226"/>
    </row>
    <row r="95">
      <c r="A95" s="235"/>
      <c r="B95" s="226"/>
      <c r="C95" s="89"/>
      <c r="D95" s="89"/>
      <c r="E95" s="276"/>
      <c r="F95" s="89"/>
      <c r="G95" s="295"/>
      <c r="H95" s="235"/>
      <c r="I95" s="313"/>
      <c r="J95" s="256"/>
      <c r="K95" s="270"/>
      <c r="L95" s="226"/>
      <c r="M95" s="226"/>
      <c r="N95" s="313"/>
      <c r="O95" s="258"/>
      <c r="P95" s="259"/>
      <c r="Q95" s="235"/>
      <c r="R95" s="256"/>
      <c r="S95" s="226"/>
      <c r="T95" s="226"/>
      <c r="U95" s="256"/>
      <c r="V95" s="226"/>
      <c r="W95" s="226"/>
      <c r="X95" s="226"/>
      <c r="Y95" s="226"/>
      <c r="Z95" s="261"/>
      <c r="AA95" s="261"/>
      <c r="AB95" s="226"/>
      <c r="AC95" s="226"/>
      <c r="AD95" s="226"/>
      <c r="AE95" s="226"/>
      <c r="AF95" s="226"/>
      <c r="AG95" s="226"/>
      <c r="AH95" s="226"/>
      <c r="AI95" s="226"/>
      <c r="AJ95" s="226"/>
      <c r="AK95" s="226"/>
      <c r="AL95" s="226"/>
    </row>
    <row r="96">
      <c r="A96" s="235"/>
      <c r="B96" s="226"/>
      <c r="C96" s="89"/>
      <c r="D96" s="89"/>
      <c r="E96" s="276"/>
      <c r="F96" s="89"/>
      <c r="G96" s="295"/>
      <c r="H96" s="235"/>
      <c r="I96" s="313"/>
      <c r="J96" s="256"/>
      <c r="K96" s="270"/>
      <c r="L96" s="226"/>
      <c r="M96" s="226"/>
      <c r="N96" s="313"/>
      <c r="O96" s="258"/>
      <c r="P96" s="259"/>
      <c r="Q96" s="235"/>
      <c r="R96" s="256"/>
      <c r="S96" s="226"/>
      <c r="T96" s="226"/>
      <c r="U96" s="256"/>
      <c r="V96" s="226"/>
      <c r="W96" s="226"/>
      <c r="X96" s="226"/>
      <c r="Y96" s="226"/>
      <c r="Z96" s="261"/>
      <c r="AA96" s="261"/>
      <c r="AB96" s="226"/>
      <c r="AC96" s="226"/>
      <c r="AD96" s="226"/>
      <c r="AE96" s="226"/>
      <c r="AF96" s="226"/>
      <c r="AG96" s="226"/>
      <c r="AH96" s="226"/>
      <c r="AI96" s="226"/>
      <c r="AJ96" s="226"/>
      <c r="AK96" s="226"/>
      <c r="AL96" s="226"/>
    </row>
    <row r="97">
      <c r="A97" s="235"/>
      <c r="B97" s="226"/>
      <c r="C97" s="89"/>
      <c r="D97" s="89"/>
      <c r="E97" s="276"/>
      <c r="F97" s="89"/>
      <c r="G97" s="295"/>
      <c r="H97" s="235"/>
      <c r="I97" s="313"/>
      <c r="J97" s="256"/>
      <c r="K97" s="270"/>
      <c r="L97" s="226"/>
      <c r="M97" s="226"/>
      <c r="N97" s="313"/>
      <c r="O97" s="258"/>
      <c r="P97" s="259"/>
      <c r="Q97" s="235"/>
      <c r="R97" s="256"/>
      <c r="S97" s="226"/>
      <c r="T97" s="226"/>
      <c r="U97" s="256"/>
      <c r="V97" s="226"/>
      <c r="W97" s="226"/>
      <c r="X97" s="226"/>
      <c r="Y97" s="226"/>
      <c r="Z97" s="261"/>
      <c r="AA97" s="261"/>
      <c r="AB97" s="226"/>
      <c r="AC97" s="226"/>
      <c r="AD97" s="226"/>
      <c r="AE97" s="226"/>
      <c r="AF97" s="226"/>
      <c r="AG97" s="226"/>
      <c r="AH97" s="226"/>
      <c r="AI97" s="226"/>
      <c r="AJ97" s="226"/>
      <c r="AK97" s="226"/>
      <c r="AL97" s="226"/>
    </row>
    <row r="98">
      <c r="A98" s="235"/>
      <c r="B98" s="226"/>
      <c r="C98" s="89"/>
      <c r="D98" s="89"/>
      <c r="E98" s="276"/>
      <c r="F98" s="89"/>
      <c r="G98" s="295"/>
      <c r="H98" s="235"/>
      <c r="I98" s="313"/>
      <c r="J98" s="256"/>
      <c r="K98" s="270"/>
      <c r="L98" s="226"/>
      <c r="M98" s="226"/>
      <c r="N98" s="313"/>
      <c r="O98" s="258"/>
      <c r="P98" s="259"/>
      <c r="Q98" s="235"/>
      <c r="R98" s="256"/>
      <c r="S98" s="226"/>
      <c r="T98" s="226"/>
      <c r="U98" s="256"/>
      <c r="V98" s="226"/>
      <c r="W98" s="226"/>
      <c r="X98" s="226"/>
      <c r="Y98" s="226"/>
      <c r="Z98" s="261"/>
      <c r="AA98" s="261"/>
      <c r="AB98" s="226"/>
      <c r="AC98" s="226"/>
      <c r="AD98" s="226"/>
      <c r="AE98" s="226"/>
      <c r="AF98" s="226"/>
      <c r="AG98" s="226"/>
      <c r="AH98" s="226"/>
      <c r="AI98" s="226"/>
      <c r="AJ98" s="226"/>
      <c r="AK98" s="226"/>
      <c r="AL98" s="226"/>
    </row>
    <row r="99">
      <c r="A99" s="235"/>
      <c r="B99" s="226"/>
      <c r="C99" s="89"/>
      <c r="D99" s="89"/>
      <c r="E99" s="276"/>
      <c r="F99" s="89"/>
      <c r="G99" s="295"/>
      <c r="H99" s="235"/>
      <c r="I99" s="313"/>
      <c r="J99" s="256"/>
      <c r="K99" s="270"/>
      <c r="L99" s="226"/>
      <c r="M99" s="226"/>
      <c r="N99" s="313"/>
      <c r="O99" s="258"/>
      <c r="P99" s="259"/>
      <c r="Q99" s="235"/>
      <c r="R99" s="256"/>
      <c r="S99" s="226"/>
      <c r="T99" s="226"/>
      <c r="U99" s="256"/>
      <c r="V99" s="226"/>
      <c r="W99" s="226"/>
      <c r="X99" s="226"/>
      <c r="Y99" s="226"/>
      <c r="Z99" s="261"/>
      <c r="AA99" s="261"/>
      <c r="AB99" s="226"/>
      <c r="AC99" s="226"/>
      <c r="AD99" s="226"/>
      <c r="AE99" s="226"/>
      <c r="AF99" s="226"/>
      <c r="AG99" s="226"/>
      <c r="AH99" s="226"/>
      <c r="AI99" s="226"/>
      <c r="AJ99" s="226"/>
      <c r="AK99" s="226"/>
      <c r="AL99" s="226"/>
    </row>
    <row r="100">
      <c r="A100" s="235"/>
      <c r="B100" s="226"/>
      <c r="C100" s="89"/>
      <c r="D100" s="89"/>
      <c r="E100" s="276"/>
      <c r="F100" s="89"/>
      <c r="G100" s="295"/>
      <c r="H100" s="235"/>
      <c r="I100" s="313"/>
      <c r="J100" s="256"/>
      <c r="K100" s="270"/>
      <c r="L100" s="226"/>
      <c r="M100" s="226"/>
      <c r="N100" s="313"/>
      <c r="O100" s="258"/>
      <c r="P100" s="259"/>
      <c r="Q100" s="235"/>
      <c r="R100" s="256"/>
      <c r="S100" s="226"/>
      <c r="T100" s="226"/>
      <c r="U100" s="256"/>
      <c r="V100" s="226"/>
      <c r="W100" s="226"/>
      <c r="X100" s="226"/>
      <c r="Y100" s="226"/>
      <c r="Z100" s="261"/>
      <c r="AA100" s="261"/>
      <c r="AB100" s="226"/>
      <c r="AC100" s="226"/>
      <c r="AD100" s="226"/>
      <c r="AE100" s="226"/>
      <c r="AF100" s="226"/>
      <c r="AG100" s="226"/>
      <c r="AH100" s="226"/>
      <c r="AI100" s="226"/>
      <c r="AJ100" s="226"/>
      <c r="AK100" s="226"/>
      <c r="AL100" s="226"/>
    </row>
    <row r="101">
      <c r="A101" s="235"/>
      <c r="B101" s="226"/>
      <c r="C101" s="89"/>
      <c r="D101" s="89"/>
      <c r="E101" s="276"/>
      <c r="F101" s="89"/>
      <c r="G101" s="295"/>
      <c r="H101" s="235"/>
      <c r="I101" s="313"/>
      <c r="J101" s="256"/>
      <c r="K101" s="270"/>
      <c r="L101" s="226"/>
      <c r="M101" s="226"/>
      <c r="N101" s="313"/>
      <c r="O101" s="258"/>
      <c r="P101" s="259"/>
      <c r="Q101" s="235"/>
      <c r="R101" s="256"/>
      <c r="S101" s="226"/>
      <c r="T101" s="226"/>
      <c r="U101" s="256"/>
      <c r="V101" s="226"/>
      <c r="W101" s="226"/>
      <c r="X101" s="226"/>
      <c r="Y101" s="226"/>
      <c r="Z101" s="261"/>
      <c r="AA101" s="261"/>
      <c r="AB101" s="226"/>
      <c r="AC101" s="226"/>
      <c r="AD101" s="226"/>
      <c r="AE101" s="226"/>
      <c r="AF101" s="226"/>
      <c r="AG101" s="226"/>
      <c r="AH101" s="226"/>
      <c r="AI101" s="226"/>
      <c r="AJ101" s="226"/>
      <c r="AK101" s="226"/>
      <c r="AL101" s="226"/>
    </row>
    <row r="102">
      <c r="A102" s="235"/>
      <c r="B102" s="226"/>
      <c r="C102" s="89"/>
      <c r="D102" s="89"/>
      <c r="E102" s="276"/>
      <c r="F102" s="89"/>
      <c r="G102" s="295"/>
      <c r="H102" s="235"/>
      <c r="I102" s="313"/>
      <c r="J102" s="256"/>
      <c r="K102" s="270"/>
      <c r="L102" s="226"/>
      <c r="M102" s="226"/>
      <c r="N102" s="313"/>
      <c r="O102" s="258"/>
      <c r="P102" s="259"/>
      <c r="Q102" s="235"/>
      <c r="R102" s="256"/>
      <c r="S102" s="226"/>
      <c r="T102" s="226"/>
      <c r="U102" s="256"/>
      <c r="V102" s="226"/>
      <c r="W102" s="226"/>
      <c r="X102" s="226"/>
      <c r="Y102" s="226"/>
      <c r="Z102" s="261"/>
      <c r="AA102" s="261"/>
      <c r="AB102" s="226"/>
      <c r="AC102" s="226"/>
      <c r="AD102" s="226"/>
      <c r="AE102" s="226"/>
      <c r="AF102" s="226"/>
      <c r="AG102" s="226"/>
      <c r="AH102" s="226"/>
      <c r="AI102" s="226"/>
      <c r="AJ102" s="226"/>
      <c r="AK102" s="226"/>
      <c r="AL102" s="226"/>
    </row>
    <row r="103">
      <c r="A103" s="235"/>
      <c r="B103" s="226"/>
      <c r="C103" s="89"/>
      <c r="D103" s="89"/>
      <c r="E103" s="276"/>
      <c r="F103" s="89"/>
      <c r="G103" s="295"/>
      <c r="H103" s="235"/>
      <c r="I103" s="313"/>
      <c r="J103" s="256"/>
      <c r="K103" s="270"/>
      <c r="L103" s="226"/>
      <c r="M103" s="226"/>
      <c r="N103" s="313"/>
      <c r="O103" s="258"/>
      <c r="P103" s="259"/>
      <c r="Q103" s="235"/>
      <c r="R103" s="256"/>
      <c r="S103" s="226"/>
      <c r="T103" s="226"/>
      <c r="U103" s="256"/>
      <c r="V103" s="226"/>
      <c r="W103" s="226"/>
      <c r="X103" s="226"/>
      <c r="Y103" s="226"/>
      <c r="Z103" s="261"/>
      <c r="AA103" s="261"/>
      <c r="AB103" s="226"/>
      <c r="AC103" s="226"/>
      <c r="AD103" s="226"/>
      <c r="AE103" s="226"/>
      <c r="AF103" s="226"/>
      <c r="AG103" s="226"/>
      <c r="AH103" s="226"/>
      <c r="AI103" s="226"/>
      <c r="AJ103" s="226"/>
      <c r="AK103" s="226"/>
      <c r="AL103" s="226"/>
    </row>
  </sheetData>
  <hyperlinks>
    <hyperlink r:id="rId1" ref="Z3"/>
    <hyperlink r:id="rId2" ref="Z4"/>
    <hyperlink r:id="rId3" ref="Z5"/>
    <hyperlink r:id="rId4" ref="Z7"/>
    <hyperlink r:id="rId5" ref="Z8"/>
    <hyperlink r:id="rId6" ref="Z9"/>
    <hyperlink r:id="rId7" ref="Z10"/>
    <hyperlink r:id="rId8" ref="Z11"/>
    <hyperlink r:id="rId9" ref="Z12"/>
    <hyperlink r:id="rId10" ref="Z13"/>
    <hyperlink r:id="rId11" ref="Z14"/>
    <hyperlink r:id="rId12" ref="Z18"/>
    <hyperlink r:id="rId13" ref="Z21"/>
  </hyperlinks>
  <drawing r:id="rId14"/>
</worksheet>
</file>